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Dati" sheetId="1" r:id="rId1"/>
    <sheet name="BP_1A" sheetId="2" r:id="rId2"/>
    <sheet name="BP_1B" sheetId="3" r:id="rId3"/>
    <sheet name="BP_1C" sheetId="4" r:id="rId4"/>
  </sheets>
  <definedNames>
    <definedName name="_xlnm.Print_Area" localSheetId="1">'BP_1A'!$A$1:$G$65</definedName>
    <definedName name="_xlnm.Print_Area" localSheetId="0">'Dati'!$A$1:$AK$240</definedName>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<sst xmlns="http://schemas.openxmlformats.org/spreadsheetml/2006/main" count="1127" uniqueCount="863">
  <si>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</si>
  <si>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</si>
  <si>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</si>
  <si>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</si>
  <si>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</si>
  <si>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</si>
  <si>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</si>
  <si>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</si>
  <si>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</si>
  <si>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</si>
  <si>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</si>
  <si>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</si>
  <si>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</si>
  <si>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</si>
  <si>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</si>
  <si>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</si>
  <si>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</si>
  <si>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</si>
  <si>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</si>
  <si>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</si>
  <si>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</si>
  <si>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</si>
  <si>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</si>
  <si>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</si>
  <si>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</si>
  <si>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</si>
  <si>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</si>
  <si>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</si>
  <si>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</si>
  <si>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</si>
  <si>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</si>
  <si>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</si>
  <si>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</si>
  <si>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</si>
  <si>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</si>
  <si>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</si>
  <si>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</si>
  <si>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</si>
  <si>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</si>
  <si>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</si>
  <si>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</si>
  <si>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</si>
  <si>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</si>
  <si>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</si>
  <si>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</si>
  <si>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</si>
  <si>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</si>
  <si>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</si>
  <si>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</si>
  <si>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</si>
  <si>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</si>
  <si>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</si>
  <si>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</si>
  <si>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</si>
  <si>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</si>
  <si>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</si>
  <si>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</si>
  <si>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</si>
  <si>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</si>
  <si>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</si>
  <si>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</si>
  <si>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</si>
  <si>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</si>
  <si>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</si>
  <si>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</si>
  <si>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</si>
  <si>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</si>
  <si>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</si>
  <si>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</si>
  <si>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</si>
  <si>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</si>
  <si>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</si>
  <si>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</si>
  <si>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</si>
  <si>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</si>
  <si>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</si>
  <si>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</si>
  <si>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</si>
  <si>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</si>
  <si>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</si>
  <si>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</si>
  <si>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</si>
  <si>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</si>
  <si>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</si>
  <si>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</si>
  <si>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</si>
  <si>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</si>
  <si>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</si>
  <si>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</si>
  <si>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</si>
  <si>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</si>
  <si>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</si>
  <si>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</si>
  <si>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</si>
  <si>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</si>
  <si>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</si>
  <si>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</si>
  <si>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</si>
  <si>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</si>
  <si>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</si>
  <si>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</si>
  <si>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</si>
  <si>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</si>
  <si>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</si>
  <si>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</si>
  <si>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</si>
  <si>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</si>
  <si>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</si>
  <si>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</si>
  <si>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</si>
  <si>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</si>
  <si>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</si>
  <si>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</si>
  <si>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</si>
  <si>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</si>
  <si>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</si>
  <si>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</si>
  <si>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</si>
  <si>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</si>
  <si>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</si>
  <si>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</si>
  <si>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</si>
  <si>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</si>
  <si>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</si>
  <si>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</si>
  <si>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</si>
  <si>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</si>
  <si>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</si>
  <si>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</si>
  <si>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</si>
  <si>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</si>
  <si>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</si>
  <si>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</si>
  <si>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</si>
  <si>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</si>
  <si>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</si>
  <si>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</si>
  <si>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</si>
  <si>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</si>
  <si>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</si>
  <si>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</si>
  <si>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</si>
  <si>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</si>
  <si>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</si>
  <si>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</si>
  <si>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</si>
  <si>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</si>
  <si>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</si>
  <si>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</si>
  <si>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</si>
  <si>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</si>
  <si>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Dati esercizio -1: dati di pre-consuntivo (1) oppure previsioni definitive anno in corso (2)</t>
  </si>
  <si>
    <t>Eser-1
(anno 2016)
dati preconsuntivo o previsione def.</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</si>
  <si>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</si>
  <si>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</si>
  <si>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</si>
  <si>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</si>
  <si>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</si>
  <si>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</si>
  <si>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</si>
  <si>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</si>
  <si>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</si>
  <si>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</si>
  <si>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</si>
  <si>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</si>
  <si>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</si>
  <si>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</si>
  <si>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</si>
  <si>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</si>
  <si>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</si>
  <si>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</si>
  <si>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</si>
  <si>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</si>
  <si>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Eser-1
(anno 2016)
Incassi CO+RE o previsione def. Di CASSA</t>
  </si>
  <si>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</si>
  <si>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</si>
  <si>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</si>
  <si>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</si>
  <si>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</si>
  <si>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</si>
  <si>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</si>
  <si>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</si>
  <si>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</si>
  <si>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</si>
  <si>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</si>
  <si>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def. 
Eser-1
</t>
  </si>
  <si>
    <t>Eser-1
dati preconsuntivo (Accert. CP+RS) o previsione def. (CP+RS)</t>
  </si>
  <si>
    <t xml:space="preserve">Previsioni di Cassa
Eser-3
</t>
  </si>
  <si>
    <t xml:space="preserve">Previsioni di Cassa
Eser-2
</t>
  </si>
  <si>
    <t xml:space="preserve">Previsioni di Cassa
Eser-1
</t>
  </si>
  <si>
    <t>Eser-1
Incassi CP+RS o Previsione def. Di Cassa</t>
  </si>
  <si>
    <t xml:space="preserve">Accert. RS
Eser -3
</t>
  </si>
  <si>
    <t xml:space="preserve">Accert. RS
Eser -2
</t>
  </si>
  <si>
    <t xml:space="preserve">Accert. RS
Eser -1
</t>
  </si>
  <si>
    <t xml:space="preserve">Residui Iniziali 
Eser -1
</t>
  </si>
  <si>
    <t>Eser-1  dati preconsuntivo Accert. CP o Prev.Def. CP</t>
  </si>
  <si>
    <t xml:space="preserve">Impegni
Eser -3
</t>
  </si>
  <si>
    <t xml:space="preserve">FPV costituito
Eser-3
</t>
  </si>
  <si>
    <t xml:space="preserve">Impegni
Eser -2
</t>
  </si>
  <si>
    <t xml:space="preserve">FPV costituito
Eser-2
</t>
  </si>
  <si>
    <t xml:space="preserve">Impegni
Eser -1
</t>
  </si>
  <si>
    <t xml:space="preserve">FPV costituito
Eser-1
 oppure FPV stanziamenti def </t>
  </si>
  <si>
    <t xml:space="preserve">Mandati CO+RE
Eser-3
</t>
  </si>
  <si>
    <t xml:space="preserve">Mandati
CO+RE
Eser-2
</t>
  </si>
  <si>
    <t xml:space="preserve">Mandati
CO+RE
Eser-1
</t>
  </si>
  <si>
    <t>Residui Definitivi 
Eser-3
 (Impegni a Residuo)</t>
  </si>
  <si>
    <t>Residui Definitivi 
Eser-2
 (Impegni a Residuo)</t>
  </si>
  <si>
    <t>Residui Definitivi 
Eser-1
 (Impegni a Residuo) o Stanz. Residuo Iniziale</t>
  </si>
  <si>
    <t xml:space="preserve">Previsioni definitive 
Eser-1
</t>
  </si>
  <si>
    <t>Eser-1
dati preconsuntivo(impegni) o previsione def.(escluso FPV)</t>
  </si>
  <si>
    <t>Eser-1
Pagamenti o Previsione def. Di Cassa</t>
  </si>
  <si>
    <t>Previsioni Definitive Eser-1  solo FPV</t>
  </si>
  <si>
    <t xml:space="preserve">FPV costituito
Eser-1
</t>
  </si>
  <si>
    <t>Residui Definitivi 
Eser-1
 Impegni a Residuo</t>
  </si>
  <si>
    <t xml:space="preserve">Residui Iniziali
Eser-1
</t>
  </si>
  <si>
    <t>COMUNE DI IGLESIAS</t>
  </si>
  <si>
    <t>PROVINCIA SUD SARDEGNA</t>
  </si>
  <si>
    <t>2018</t>
  </si>
  <si>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</si>
  <si>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</si>
  <si>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</si>
  <si>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</si>
  <si>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</si>
  <si>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</si>
  <si>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</si>
  <si>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</si>
  <si>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</si>
  <si>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</si>
  <si>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</si>
  <si>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</si>
  <si>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</si>
  <si>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</si>
  <si>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</si>
  <si>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</si>
  <si>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</si>
  <si>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</si>
  <si>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</si>
  <si>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</si>
  <si>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</si>
  <si>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</si>
  <si>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</si>
  <si>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</si>
  <si>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</si>
  <si>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</si>
  <si>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</si>
  <si>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</si>
  <si>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</si>
  <si>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</si>
  <si>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</si>
  <si>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</si>
  <si>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</si>
  <si>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</si>
  <si>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</si>
  <si>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</si>
  <si>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</si>
  <si>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</si>
  <si>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</si>
  <si>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</si>
  <si>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</si>
  <si>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</si>
  <si>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</si>
  <si>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</si>
  <si>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</si>
  <si>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</si>
  <si>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</si>
  <si>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</si>
  <si>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</si>
  <si>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</si>
  <si>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</si>
  <si>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</si>
  <si>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</si>
  <si>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</si>
  <si>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</si>
  <si>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</si>
  <si>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</si>
  <si>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</si>
  <si>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</si>
  <si>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</si>
  <si>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stanz.
Cassa
Eser-3</t>
  </si>
  <si>
    <t xml:space="preserve">Residui Presunti
</t>
  </si>
  <si>
    <t>Popol.
 1.1.2014</t>
  </si>
  <si>
    <t>Popol.
 1.1.2015</t>
  </si>
  <si>
    <t>Popol. 
1.1.2016</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</si>
  <si>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</si>
  <si>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</si>
  <si>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</si>
  <si>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</si>
  <si>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</si>
  <si>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</si>
  <si>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</si>
  <si>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</si>
  <si>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</si>
  <si>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</si>
  <si>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</si>
  <si>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</si>
  <si>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</si>
  <si>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</si>
  <si>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</si>
  <si>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</si>
  <si>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</si>
  <si>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</si>
  <si>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</si>
  <si>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</si>
  <si>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</si>
  <si>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</si>
  <si>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</si>
  <si>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</si>
  <si>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</si>
  <si>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</si>
  <si>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</si>
  <si>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</si>
  <si>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</si>
  <si>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</si>
  <si>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</si>
  <si>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</si>
  <si>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</si>
  <si>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</si>
  <si>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</si>
  <si>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</si>
  <si>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</si>
  <si>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</si>
  <si>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</si>
  <si>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</si>
  <si>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</si>
  <si>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</si>
  <si>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</si>
  <si>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</si>
  <si>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</si>
  <si>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</si>
  <si>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</si>
  <si>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</si>
  <si>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</si>
  <si>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</si>
  <si>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</si>
  <si>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</si>
  <si>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</si>
  <si>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</si>
  <si>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</si>
  <si>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</si>
  <si>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</si>
  <si>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</si>
  <si>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</si>
  <si>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</si>
  <si>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</si>
  <si>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</si>
  <si>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</si>
  <si>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</si>
  <si>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</si>
  <si>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</si>
  <si>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</si>
  <si>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</si>
  <si>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</si>
  <si>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</si>
  <si>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</si>
  <si>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</si>
  <si>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</si>
  <si>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</si>
  <si>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</si>
  <si>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</si>
  <si>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</si>
  <si>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</si>
  <si>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</si>
  <si>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</si>
  <si>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</si>
  <si>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</si>
  <si>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</si>
  <si>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</si>
  <si>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</si>
  <si>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</si>
  <si>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</si>
  <si>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</si>
  <si>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</si>
  <si>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</si>
  <si>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</si>
  <si>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</si>
  <si>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</si>
  <si>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</si>
  <si>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</si>
  <si>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</si>
  <si>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</si>
  <si>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</si>
  <si>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</si>
  <si>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</si>
  <si>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</si>
  <si>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</si>
  <si>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</si>
  <si>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</si>
  <si>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</si>
  <si>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</si>
  <si>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</si>
  <si>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</si>
  <si>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</si>
  <si>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</si>
  <si>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</si>
  <si>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</si>
  <si>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</si>
  <si>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</si>
  <si>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</si>
  <si>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</si>
  <si>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</si>
  <si>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</si>
  <si>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</si>
  <si>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</si>
  <si>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</si>
  <si>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</si>
  <si>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</si>
  <si>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</si>
  <si>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</si>
  <si>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</si>
  <si>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</si>
  <si>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</si>
  <si>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</si>
  <si>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</si>
  <si>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</si>
  <si>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</si>
  <si>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</si>
  <si>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</si>
  <si>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</si>
  <si>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</si>
  <si>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</si>
  <si>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</si>
  <si>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</si>
  <si>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</si>
  <si>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</si>
  <si>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</si>
  <si>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</si>
  <si>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</si>
  <si>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</si>
  <si>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</si>
  <si>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</si>
  <si>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</si>
  <si>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</si>
  <si>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</si>
  <si>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</si>
  <si>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</si>
  <si>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</si>
  <si>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</si>
  <si>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</si>
  <si>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</si>
  <si>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</si>
  <si>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</si>
  <si>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</si>
  <si>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</si>
  <si>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</si>
  <si>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</si>
  <si>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</si>
  <si>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</si>
  <si>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</si>
  <si>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</si>
  <si>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</si>
  <si>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</si>
  <si>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</si>
  <si>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</si>
  <si>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</si>
  <si>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</si>
  <si>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</si>
  <si>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</si>
  <si>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</si>
  <si>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</si>
  <si>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</si>
  <si>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</si>
  <si>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</si>
  <si>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</si>
  <si>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</si>
  <si>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</si>
  <si>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</si>
  <si>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</si>
  <si>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</si>
  <si>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</si>
  <si>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</si>
  <si>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</si>
  <si>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</si>
  <si>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</si>
  <si>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</si>
  <si>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</si>
  <si>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</si>
  <si>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</si>
  <si>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</si>
  <si>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</si>
  <si>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</si>
  <si>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</si>
  <si>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</si>
  <si>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</si>
  <si>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</si>
  <si>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</si>
  <si>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</si>
  <si>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</si>
  <si>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</si>
  <si>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</si>
  <si>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</si>
  <si>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</si>
  <si>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</si>
  <si>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</si>
  <si>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</si>
  <si>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</si>
  <si>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</si>
  <si>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</si>
  <si>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</si>
  <si>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</si>
  <si>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</si>
  <si>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</si>
  <si>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</si>
  <si>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</si>
  <si>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</si>
  <si>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</si>
  <si>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</si>
  <si>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</si>
  <si>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</si>
  <si>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</si>
  <si>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</si>
  <si>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</si>
  <si>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</si>
  <si>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</si>
  <si>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</si>
  <si>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</si>
  <si>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</si>
  <si>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</si>
  <si>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</si>
  <si>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</si>
  <si>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</si>
  <si>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</si>
  <si>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</si>
  <si>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</si>
  <si>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</si>
  <si>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</si>
  <si>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</si>
  <si>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</si>
  <si>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</si>
  <si>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</si>
  <si>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</si>
  <si>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</si>
  <si>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</si>
  <si>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</si>
  <si>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</si>
  <si>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</si>
  <si>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</si>
  <si>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</si>
  <si>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</si>
  <si>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</si>
  <si>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</si>
  <si>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</si>
  <si>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</si>
  <si>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</si>
  <si>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</si>
  <si>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</si>
  <si>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</si>
  <si>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</si>
  <si>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</si>
  <si>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</si>
  <si>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</si>
  <si>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</si>
  <si>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</si>
  <si>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</si>
  <si>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</si>
  <si>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</si>
  <si>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</si>
  <si>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</si>
  <si>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</si>
  <si>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</si>
  <si>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</si>
  <si>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</si>
  <si>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</si>
  <si>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</si>
  <si>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</si>
  <si>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</si>
  <si>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</si>
  <si>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</si>
  <si>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</si>
  <si>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</si>
  <si>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</si>
  <si>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</si>
  <si>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</si>
  <si>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</si>
  <si>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</si>
  <si>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</si>
  <si>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</si>
  <si>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</si>
  <si>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</si>
  <si>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</si>
  <si>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</si>
  <si>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</si>
  <si>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</si>
  <si>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</si>
  <si>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</si>
  <si>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</si>
  <si>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</si>
  <si>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</si>
  <si>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</si>
  <si>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</si>
  <si>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</si>
  <si>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</si>
  <si>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</si>
  <si>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</si>
  <si>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</si>
  <si>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</si>
  <si>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</si>
  <si>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</si>
  <si>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</si>
  <si>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</si>
  <si>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</si>
  <si>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</si>
  <si>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</si>
  <si>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</si>
  <si>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</si>
  <si>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</si>
  <si>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</si>
  <si>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</si>
  <si>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</si>
  <si>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</si>
  <si>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</si>
  <si>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</si>
  <si>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</si>
  <si>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</si>
  <si>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</si>
  <si>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</si>
  <si>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</si>
  <si>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</si>
  <si>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</si>
  <si>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</si>
  <si>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</si>
  <si>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</si>
  <si>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</si>
  <si>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</si>
  <si>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</si>
  <si>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</si>
  <si>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</si>
  <si>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</si>
  <si>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</si>
  <si>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</si>
  <si>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</si>
  <si>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</si>
  <si>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</si>
  <si>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</si>
  <si>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</si>
  <si>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</si>
  <si>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</si>
  <si>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</si>
  <si>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</si>
  <si>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</si>
  <si>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</si>
  <si>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</si>
  <si>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</si>
  <si>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</si>
  <si>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</si>
  <si>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</si>
  <si>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</si>
  <si>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</si>
  <si>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</si>
  <si>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</si>
  <si>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</si>
  <si>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</si>
  <si>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</si>
  <si>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</si>
  <si>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</si>
  <si>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</si>
  <si>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</si>
  <si>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</si>
  <si>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</si>
  <si>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</si>
  <si>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</si>
  <si>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</si>
  <si>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</si>
  <si>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</si>
  <si>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</si>
  <si>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</si>
  <si>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</si>
  <si>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</si>
  <si>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</si>
  <si>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</si>
  <si>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</si>
  <si>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</si>
  <si>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</si>
  <si>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</si>
  <si>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</si>
  <si>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</si>
  <si>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</si>
  <si>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</si>
  <si>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</si>
  <si>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</si>
  <si>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</si>
  <si>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</si>
  <si>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</si>
  <si>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</si>
  <si>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</si>
  <si>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</si>
  <si>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</si>
  <si>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</si>
  <si>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</si>
  <si>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</si>
  <si>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</si>
  <si>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</si>
  <si>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</si>
  <si>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</si>
  <si>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</si>
  <si>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</si>
  <si>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</si>
  <si>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</si>
  <si>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</si>
  <si>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</si>
  <si>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</si>
  <si>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</si>
  <si>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</si>
  <si>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</si>
  <si>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</si>
  <si>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</si>
  <si>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</si>
  <si>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</si>
  <si>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</si>
  <si>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</si>
  <si>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</si>
  <si>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</si>
  <si>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</si>
  <si>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</si>
  <si>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</si>
  <si>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</si>
  <si>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</si>
  <si>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</si>
  <si>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</si>
  <si>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</si>
  <si>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</si>
  <si>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</si>
  <si>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</si>
  <si>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</si>
  <si>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</si>
  <si>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</si>
  <si>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</si>
  <si>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</si>
  <si>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</si>
  <si>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</si>
  <si>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</si>
  <si>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</si>
  <si>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</si>
  <si>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</si>
  <si>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</si>
  <si>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</si>
  <si>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</si>
  <si>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</si>
  <si>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</si>
  <si>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</si>
  <si>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</si>
  <si>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</si>
  <si>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</si>
  <si>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</si>
  <si>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</si>
  <si>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</si>
  <si>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</si>
  <si>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</si>
  <si>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</si>
  <si>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</si>
  <si>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</si>
  <si>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</si>
  <si>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</si>
  <si>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</si>
  <si>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</si>
  <si>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</si>
  <si>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</si>
  <si>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</si>
  <si>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</si>
  <si>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</si>
  <si>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</si>
  <si>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</si>
  <si>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</si>
  <si>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</si>
  <si>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</si>
  <si>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</si>
  <si>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</si>
  <si>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</si>
  <si>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</si>
  <si>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</si>
  <si>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</si>
  <si>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</si>
  <si>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</si>
  <si>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</si>
  <si>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</si>
  <si>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</si>
  <si>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</si>
  <si>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</si>
  <si>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</si>
  <si>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</si>
  <si>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</si>
  <si>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</si>
  <si>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</si>
  <si>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</si>
  <si>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</si>
  <si>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</si>
  <si>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</si>
  <si>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</si>
  <si>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</si>
  <si>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</si>
  <si>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</si>
  <si>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</si>
  <si>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</si>
  <si>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</si>
  <si>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</si>
  <si>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</si>
  <si>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</si>
  <si>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</si>
  <si>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</si>
  <si>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</si>
  <si>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</si>
  <si>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</si>
  <si>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</si>
  <si>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</si>
  <si>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</si>
  <si>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</si>
  <si>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</si>
  <si>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</si>
  <si>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</si>
  <si>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</si>
  <si>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</si>
  <si>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</si>
  <si>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</si>
  <si>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</si>
  <si>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</si>
  <si>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</si>
  <si>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</si>
  <si>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</si>
  <si>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</si>
  <si>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</si>
  <si>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</si>
  <si>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</si>
  <si>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</si>
  <si>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</si>
  <si>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</si>
  <si>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</si>
  <si>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</si>
  <si>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Numero esercizi Trend storico per calcolo media (2 / 3)</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</si>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</sst>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5">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9"/>
      <name val="Arial"/>
      <family val="2"/>
    </font>
    <font>
      <sz val="8"/>
      <color indexed="9"/>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0"/>
      <name val="Arial"/>
      <family val="2"/>
    </font>
    <font>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1"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9" borderId="0" applyNumberFormat="0" applyBorder="0" applyAlignment="0" applyProtection="0"/>
    <xf numFmtId="0" fontId="1" fillId="30" borderId="4" applyNumberFormat="0" applyFont="0" applyAlignment="0" applyProtection="0"/>
    <xf numFmtId="0" fontId="53" fillId="20" borderId="5"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97">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0" fontId="13" fillId="0" borderId="11" xfId="0" applyFont="1" applyBorder="1" applyAlignment="1">
      <alignment horizontal="center" vertical="top" wrapText="1"/>
    </xf>
    <xf numFmtId="49" fontId="2" fillId="0" borderId="0" xfId="0" applyNumberFormat="1" applyFont="1" applyAlignment="1">
      <alignment wrapText="1"/>
    </xf>
    <xf numFmtId="0" fontId="2" fillId="0" borderId="0" xfId="0" applyFont="1" applyAlignment="1">
      <alignmen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7"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8"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0" fontId="12" fillId="0" borderId="0" xfId="0" applyFont="1" applyFill="1" applyAlignment="1">
      <alignment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19" fillId="0" borderId="11" xfId="0" applyFont="1" applyFill="1" applyBorder="1" applyAlignment="1">
      <alignment horizontal="left" vertical="center"/>
    </xf>
    <xf numFmtId="0" fontId="19" fillId="0" borderId="14" xfId="0" applyFont="1" applyFill="1" applyBorder="1" applyAlignment="1">
      <alignment vertical="center"/>
    </xf>
    <xf numFmtId="0" fontId="19" fillId="0" borderId="16" xfId="0" applyFont="1" applyFill="1" applyBorder="1" applyAlignment="1">
      <alignment vertical="center"/>
    </xf>
    <xf numFmtId="0" fontId="19" fillId="0" borderId="16" xfId="0" applyFont="1" applyFill="1" applyBorder="1" applyAlignment="1">
      <alignment horizontal="center" vertical="center"/>
    </xf>
    <xf numFmtId="0" fontId="19" fillId="0" borderId="15"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2" fontId="2" fillId="0" borderId="0" xfId="0" applyNumberFormat="1" applyFont="1" applyFill="1" applyAlignment="1">
      <alignment/>
    </xf>
    <xf numFmtId="0" fontId="19" fillId="0" borderId="11" xfId="0" applyFont="1" applyFill="1" applyBorder="1" applyAlignment="1">
      <alignment horizontal="right" vertical="center"/>
    </xf>
    <xf numFmtId="0" fontId="19"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19" fillId="0" borderId="11" xfId="0" applyFont="1" applyFill="1" applyBorder="1" applyAlignment="1">
      <alignment horizontal="left" vertical="top"/>
    </xf>
    <xf numFmtId="0" fontId="19" fillId="0" borderId="14" xfId="0" applyFont="1" applyFill="1" applyBorder="1" applyAlignment="1">
      <alignment horizontal="left" vertical="top"/>
    </xf>
    <xf numFmtId="0" fontId="2" fillId="0" borderId="16" xfId="0" applyFont="1" applyFill="1" applyBorder="1" applyAlignment="1">
      <alignment horizontal="left" vertical="top"/>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4" fontId="2" fillId="0" borderId="0" xfId="0" applyNumberFormat="1" applyFont="1" applyFill="1" applyAlignment="1">
      <alignment/>
    </xf>
    <xf numFmtId="0" fontId="19" fillId="0" borderId="14" xfId="0" applyFont="1" applyFill="1" applyBorder="1" applyAlignment="1">
      <alignment horizontal="left" vertical="center"/>
    </xf>
    <xf numFmtId="0" fontId="2" fillId="0" borderId="16"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4" fontId="23" fillId="0" borderId="15" xfId="0" applyNumberFormat="1" applyFont="1" applyFill="1" applyBorder="1" applyAlignment="1" applyProtection="1">
      <alignment horizontal="right"/>
      <protection/>
    </xf>
    <xf numFmtId="4" fontId="23" fillId="0" borderId="11" xfId="0" applyNumberFormat="1" applyFont="1" applyFill="1" applyBorder="1" applyAlignment="1" applyProtection="1">
      <alignment horizontal="right"/>
      <protection/>
    </xf>
    <xf numFmtId="0" fontId="24" fillId="0" borderId="0" xfId="0" applyNumberFormat="1" applyFont="1" applyFill="1" applyBorder="1" applyAlignment="1" applyProtection="1">
      <alignment horizontal="left" vertical="center"/>
      <protection/>
    </xf>
    <xf numFmtId="14" fontId="24" fillId="0" borderId="0"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left"/>
      <protection/>
    </xf>
    <xf numFmtId="0" fontId="20" fillId="0" borderId="0" xfId="0" applyFont="1" applyAlignment="1">
      <alignment horizontal="center"/>
    </xf>
    <xf numFmtId="49" fontId="2" fillId="0" borderId="0" xfId="0" applyNumberFormat="1" applyFont="1" applyFill="1" applyBorder="1" applyAlignment="1">
      <alignment wrapText="1"/>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21" fillId="0" borderId="0" xfId="0" applyFont="1" applyFill="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17" xfId="0" applyFont="1" applyFill="1" applyBorder="1" applyAlignment="1">
      <alignment horizontal="center"/>
    </xf>
    <xf numFmtId="0" fontId="0" fillId="0" borderId="17" xfId="0" applyBorder="1" applyAlignment="1">
      <alignment/>
    </xf>
    <xf numFmtId="0" fontId="13" fillId="0" borderId="24" xfId="0" applyFont="1" applyBorder="1" applyAlignment="1">
      <alignment vertical="center" wrapText="1"/>
    </xf>
    <xf numFmtId="0" fontId="22" fillId="0" borderId="24"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3" fillId="0" borderId="11" xfId="0" applyFont="1" applyBorder="1" applyAlignment="1">
      <alignment horizontal="center" vertical="center" wrapText="1"/>
    </xf>
    <xf numFmtId="0" fontId="9" fillId="0" borderId="0" xfId="0" applyFont="1" applyAlignment="1">
      <alignment horizontal="center" vertical="center"/>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0"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12" fillId="0" borderId="24" xfId="0" applyFont="1" applyBorder="1" applyAlignment="1">
      <alignment vertical="center" wrapText="1"/>
    </xf>
    <xf numFmtId="0" fontId="17" fillId="0" borderId="24" xfId="0" applyFont="1" applyBorder="1" applyAlignment="1">
      <alignment/>
    </xf>
    <xf numFmtId="0" fontId="5" fillId="0" borderId="14" xfId="0" applyFont="1" applyBorder="1" applyAlignment="1">
      <alignment horizontal="center" vertical="center"/>
    </xf>
    <xf numFmtId="0" fontId="0" fillId="0" borderId="16" xfId="0" applyBorder="1" applyAlignment="1">
      <alignment horizontal="center" vertical="center"/>
    </xf>
    <xf numFmtId="4" fontId="63" fillId="0" borderId="0" xfId="0" applyNumberFormat="1" applyFont="1" applyFill="1" applyBorder="1" applyAlignment="1" applyProtection="1">
      <alignment horizontal="left"/>
      <protection/>
    </xf>
    <xf numFmtId="4" fontId="63" fillId="0" borderId="0" xfId="0" applyNumberFormat="1" applyFont="1" applyFill="1" applyBorder="1" applyAlignment="1" applyProtection="1">
      <alignment horizontal="right"/>
      <protection/>
    </xf>
    <xf numFmtId="0" fontId="63" fillId="0" borderId="0" xfId="0" applyFont="1" applyAlignment="1">
      <alignment/>
    </xf>
    <xf numFmtId="4" fontId="63" fillId="0" borderId="0" xfId="0" applyNumberFormat="1" applyFont="1" applyAlignment="1">
      <alignment horizontal="right"/>
    </xf>
    <xf numFmtId="4" fontId="63" fillId="0" borderId="0" xfId="0" applyNumberFormat="1" applyFont="1" applyAlignment="1">
      <alignment horizontal="right" wrapText="1"/>
    </xf>
    <xf numFmtId="4" fontId="64" fillId="0" borderId="15" xfId="0" applyNumberFormat="1" applyFont="1" applyFill="1" applyBorder="1" applyAlignment="1" applyProtection="1">
      <alignment horizontal="right"/>
      <protection/>
    </xf>
    <xf numFmtId="4" fontId="64" fillId="0" borderId="26" xfId="0" applyNumberFormat="1" applyFont="1" applyFill="1" applyBorder="1" applyAlignment="1">
      <alignment horizontal="right"/>
    </xf>
    <xf numFmtId="4" fontId="45" fillId="0" borderId="0" xfId="0" applyNumberFormat="1" applyFont="1" applyFill="1" applyBorder="1" applyAlignment="1" applyProtection="1">
      <alignment horizontal="left" vertical="center" wrapText="1"/>
      <protection/>
    </xf>
    <xf numFmtId="4" fontId="23" fillId="0" borderId="0" xfId="0" applyNumberFormat="1" applyFont="1" applyFill="1" applyBorder="1" applyAlignment="1" applyProtection="1">
      <alignment horizontal="right"/>
      <protection/>
    </xf>
    <xf numFmtId="0" fontId="9" fillId="0" borderId="0" xfId="0" applyFont="1" applyFill="1" applyAlignment="1">
      <alignment horizontal="center" vertical="center" wrapText="1"/>
    </xf>
    <xf numFmtId="0" fontId="12" fillId="0" borderId="0" xfId="0" applyFont="1" applyFill="1" applyBorder="1" applyAlignment="1">
      <alignment horizontal="left" vertical="center" wrapText="1"/>
    </xf>
    <xf numFmtId="0" fontId="13" fillId="0" borderId="0" xfId="0" applyFont="1" applyFill="1" applyAlignment="1">
      <alignment/>
    </xf>
    <xf numFmtId="0" fontId="9" fillId="0" borderId="0" xfId="0" applyFont="1" applyFill="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Q242"/>
  <sheetViews>
    <sheetView tabSelected="1" zoomScale="85" zoomScaleNormal="85" zoomScalePageLayoutView="0" workbookViewId="0" topLeftCell="A76">
      <selection activeCell="A74" sqref="A74:IV74"/>
    </sheetView>
  </sheetViews>
  <sheetFormatPr defaultColWidth="9.00390625" defaultRowHeight="15"/>
  <cols>
    <col min="1" max="1" width="9.00390625" style="2" customWidth="1"/>
    <col min="2" max="2" width="20.140625" style="2" customWidth="1"/>
    <col min="3" max="3" width="58.00390625" style="3" customWidth="1"/>
    <col min="4" max="4" width="12.28125" style="10" customWidth="1"/>
    <col min="5" max="15" width="11.421875" style="10" customWidth="1"/>
    <col min="16" max="16" width="13.7109375" style="10" customWidth="1"/>
    <col min="17" max="17" width="12.421875" style="10" customWidth="1"/>
    <col min="18" max="18" width="11.421875" style="1" customWidth="1"/>
    <col min="19" max="19" width="13.57421875" style="1" customWidth="1"/>
    <col min="20" max="20" width="21.140625" style="1" bestFit="1" customWidth="1"/>
    <col min="21" max="21" width="17.7109375" style="1" bestFit="1" customWidth="1"/>
    <col min="22" max="22" width="15.7109375" style="1" customWidth="1"/>
    <col min="23" max="23" width="14.28125" style="1" bestFit="1" customWidth="1"/>
    <col min="24" max="24" width="15.00390625" style="1" customWidth="1"/>
    <col min="25" max="25" width="17.57421875" style="1" customWidth="1"/>
    <col min="26" max="26" width="22.28125" style="1" bestFit="1" customWidth="1"/>
    <col min="27" max="27" width="22.7109375" style="1" customWidth="1"/>
    <col min="28" max="28" width="18.00390625" style="1" customWidth="1"/>
    <col min="29" max="29" width="14.7109375" style="1" customWidth="1"/>
    <col min="30" max="30" width="18.421875" style="1" customWidth="1"/>
    <col min="31" max="31" width="14.140625" style="1" customWidth="1"/>
    <col min="32" max="32" width="14.57421875" style="1" customWidth="1"/>
    <col min="33" max="33" width="15.28125" style="1" customWidth="1"/>
    <col min="34" max="34" width="26.28125" style="1" customWidth="1"/>
    <col min="35" max="35" width="27.28125" style="1" customWidth="1"/>
    <col min="36" max="36" width="27.140625" style="1" customWidth="1"/>
    <col min="37" max="16384" width="9.00390625" style="1" customWidth="1"/>
  </cols>
  <sheetData>
    <row r="1" spans="1:17" ht="14.25" customHeight="1">
      <c r="A1" s="126" t="s">
        <v>218</v>
      </c>
      <c r="B1" s="126"/>
      <c r="C1" s="126"/>
      <c r="D1" s="126"/>
      <c r="E1" s="126"/>
      <c r="F1" s="126"/>
      <c r="G1" s="126"/>
      <c r="H1" s="126"/>
      <c r="I1" s="126"/>
      <c r="J1" s="126"/>
      <c r="K1" s="126"/>
      <c r="L1" s="126"/>
      <c r="M1" s="126"/>
      <c r="N1" s="126"/>
      <c r="O1" s="126"/>
      <c r="P1" s="126"/>
      <c r="Q1" s="126"/>
    </row>
    <row r="2" spans="1:17" ht="14.25" customHeight="1">
      <c r="A2" s="126"/>
      <c r="B2" s="126"/>
      <c r="C2" s="126"/>
      <c r="D2" s="126"/>
      <c r="E2" s="126"/>
      <c r="F2" s="126"/>
      <c r="G2" s="126"/>
      <c r="H2" s="126"/>
      <c r="I2" s="126"/>
      <c r="J2" s="126"/>
      <c r="K2" s="126"/>
      <c r="L2" s="126"/>
      <c r="M2" s="126"/>
      <c r="N2" s="126"/>
      <c r="O2" s="126"/>
      <c r="P2" s="126"/>
      <c r="Q2" s="126"/>
    </row>
    <row r="3" spans="4:23" ht="14.25" customHeight="1">
      <c r="D3" s="4" t="s">
        <v>219</v>
      </c>
      <c r="E3" s="4" t="s">
        <v>219</v>
      </c>
      <c r="F3" s="4" t="s">
        <v>219</v>
      </c>
      <c r="G3" s="5" t="s">
        <v>220</v>
      </c>
      <c r="H3" s="5" t="s">
        <v>220</v>
      </c>
      <c r="I3" s="5" t="s">
        <v>220</v>
      </c>
      <c r="J3" s="5" t="s">
        <v>220</v>
      </c>
      <c r="K3" s="5" t="s">
        <v>220</v>
      </c>
      <c r="L3" s="5" t="s">
        <v>220</v>
      </c>
      <c r="M3" s="5" t="s">
        <v>220</v>
      </c>
      <c r="N3" s="5" t="s">
        <v>220</v>
      </c>
      <c r="O3" s="5" t="s">
        <v>220</v>
      </c>
      <c r="P3" s="5" t="s">
        <v>220</v>
      </c>
      <c r="Q3" s="5" t="s">
        <v>220</v>
      </c>
      <c r="R3" s="5" t="s">
        <v>220</v>
      </c>
      <c r="S3" s="5" t="s">
        <v>219</v>
      </c>
      <c r="T3" s="5" t="s">
        <v>220</v>
      </c>
      <c r="U3" s="5" t="s">
        <v>220</v>
      </c>
      <c r="V3" s="5" t="s">
        <v>220</v>
      </c>
      <c r="W3" s="5"/>
    </row>
    <row r="4" spans="1:24" ht="56.25" customHeight="1">
      <c r="A4" s="2" t="s">
        <v>221</v>
      </c>
      <c r="B4" s="2" t="s">
        <v>222</v>
      </c>
      <c r="C4" s="6" t="s">
        <v>223</v>
      </c>
      <c r="D4" s="7" t="s">
        <v>224</v>
      </c>
      <c r="E4" s="7" t="s">
        <v>225</v>
      </c>
      <c r="F4" s="7" t="s">
        <v>226</v>
      </c>
      <c r="G4" s="7" t="s">
        <v>227</v>
      </c>
      <c r="H4" s="7" t="s">
        <v>228</v>
      </c>
      <c r="I4" s="7" t="s">
        <v>229</v>
      </c>
      <c r="J4" s="7" t="s">
        <v>158</v>
      </c>
      <c r="K4" s="7" t="s">
        <v>159</v>
      </c>
      <c r="L4" s="7" t="s">
        <v>160</v>
      </c>
      <c r="M4" s="7" t="s">
        <v>230</v>
      </c>
      <c r="N4" s="7" t="s">
        <v>231</v>
      </c>
      <c r="O4" s="7" t="s">
        <v>232</v>
      </c>
      <c r="P4" s="7" t="s">
        <v>233</v>
      </c>
      <c r="Q4" s="7" t="s">
        <v>234</v>
      </c>
      <c r="R4" s="7" t="s">
        <v>235</v>
      </c>
      <c r="S4" s="7" t="s">
        <v>153</v>
      </c>
      <c r="T4" s="7" t="s">
        <v>167</v>
      </c>
      <c r="U4" s="7" t="s">
        <v>168</v>
      </c>
      <c r="V4" s="7" t="s">
        <v>169</v>
      </c>
      <c r="W4" s="7" t="s">
        <v>152</v>
      </c>
      <c r="X4" s="7" t="s">
        <v>173</v>
      </c>
    </row>
    <row r="5" spans="2:37" ht="14.25" customHeight="1">
      <c r="B5" s="2">
        <v>0</v>
      </c>
      <c r="C5" s="8" t="s">
        <v>236</v>
      </c>
      <c r="D5" s="41">
        <f>D9-D7-D8-D6</f>
        <v>-7888656.009999983</v>
      </c>
      <c r="E5" s="42"/>
      <c r="F5" s="42"/>
      <c r="G5" s="42"/>
      <c r="H5" s="42"/>
      <c r="I5" s="42"/>
      <c r="J5" s="42"/>
      <c r="K5" s="42"/>
      <c r="L5" s="42"/>
      <c r="M5" s="42"/>
      <c r="N5" s="42"/>
      <c r="O5" s="42"/>
      <c r="P5" s="42"/>
      <c r="Q5" s="42"/>
      <c r="R5" s="42"/>
      <c r="S5" s="42"/>
      <c r="T5" s="42"/>
      <c r="U5" s="42"/>
      <c r="V5" s="42"/>
      <c r="W5" s="42"/>
      <c r="X5" s="42"/>
      <c r="Y5" s="43"/>
      <c r="Z5" s="43"/>
      <c r="AA5" s="43"/>
      <c r="AB5" s="43"/>
      <c r="AC5" s="43"/>
      <c r="AD5" s="43"/>
      <c r="AE5" s="43"/>
      <c r="AF5" s="43"/>
      <c r="AG5" s="43"/>
      <c r="AH5" s="43"/>
      <c r="AI5" s="43"/>
      <c r="AJ5" s="43"/>
      <c r="AK5" s="43"/>
    </row>
    <row r="6" spans="2:37" ht="14.25" customHeight="1">
      <c r="B6" s="2">
        <v>0</v>
      </c>
      <c r="C6" s="8" t="s">
        <v>237</v>
      </c>
      <c r="D6" s="121">
        <v>0</v>
      </c>
      <c r="E6" s="42"/>
      <c r="F6" s="42"/>
      <c r="G6" s="42"/>
      <c r="H6" s="42"/>
      <c r="I6" s="42"/>
      <c r="J6" s="42"/>
      <c r="K6" s="42"/>
      <c r="L6" s="42"/>
      <c r="M6" s="42"/>
      <c r="N6" s="42"/>
      <c r="O6" s="42"/>
      <c r="P6" s="42"/>
      <c r="Q6" s="42"/>
      <c r="R6" s="42"/>
      <c r="S6" s="42"/>
      <c r="T6" s="42"/>
      <c r="U6" s="42"/>
      <c r="V6" s="42"/>
      <c r="W6" s="42"/>
      <c r="X6" s="42"/>
      <c r="Y6" s="43"/>
      <c r="Z6" s="43"/>
      <c r="AA6" s="43"/>
      <c r="AB6" s="43"/>
      <c r="AC6" s="43"/>
      <c r="AD6" s="43"/>
      <c r="AE6" s="43"/>
      <c r="AF6" s="43"/>
      <c r="AG6" s="43"/>
      <c r="AH6" s="43"/>
      <c r="AI6" s="43"/>
      <c r="AJ6" s="43"/>
      <c r="AK6" s="43"/>
    </row>
    <row r="7" spans="2:37" ht="14.25" customHeight="1">
      <c r="B7" s="2">
        <v>0</v>
      </c>
      <c r="C7" s="8" t="s">
        <v>238</v>
      </c>
      <c r="D7" s="121">
        <v>21873787.16</v>
      </c>
      <c r="E7" s="42"/>
      <c r="F7" s="42"/>
      <c r="G7" s="42"/>
      <c r="H7" s="42"/>
      <c r="I7" s="42"/>
      <c r="J7" s="42"/>
      <c r="K7" s="42"/>
      <c r="L7" s="42"/>
      <c r="M7" s="42"/>
      <c r="N7" s="42"/>
      <c r="O7" s="42"/>
      <c r="P7" s="42"/>
      <c r="Q7" s="42"/>
      <c r="R7" s="42"/>
      <c r="S7" s="42"/>
      <c r="T7" s="42"/>
      <c r="U7" s="42"/>
      <c r="V7" s="42"/>
      <c r="W7" s="42"/>
      <c r="X7" s="42"/>
      <c r="Y7" s="43"/>
      <c r="Z7" s="43"/>
      <c r="AA7" s="43"/>
      <c r="AB7" s="43"/>
      <c r="AC7" s="43"/>
      <c r="AD7" s="43"/>
      <c r="AE7" s="43"/>
      <c r="AF7" s="43"/>
      <c r="AG7" s="43"/>
      <c r="AH7" s="43"/>
      <c r="AI7" s="43"/>
      <c r="AJ7" s="43"/>
      <c r="AK7" s="43"/>
    </row>
    <row r="8" spans="2:37" ht="14.25" customHeight="1">
      <c r="B8" s="9">
        <v>0</v>
      </c>
      <c r="C8" s="8" t="s">
        <v>239</v>
      </c>
      <c r="D8" s="121">
        <v>13670231.23</v>
      </c>
      <c r="E8" s="42"/>
      <c r="F8" s="42"/>
      <c r="G8" s="42"/>
      <c r="H8" s="42"/>
      <c r="I8" s="42"/>
      <c r="J8" s="42"/>
      <c r="K8" s="42"/>
      <c r="L8" s="42"/>
      <c r="M8" s="42"/>
      <c r="N8" s="42"/>
      <c r="O8" s="42"/>
      <c r="P8" s="42"/>
      <c r="Q8" s="42"/>
      <c r="R8" s="42"/>
      <c r="S8" s="42"/>
      <c r="T8" s="42"/>
      <c r="U8" s="42"/>
      <c r="V8" s="42"/>
      <c r="W8" s="42"/>
      <c r="X8" s="42"/>
      <c r="Y8" s="43"/>
      <c r="Z8" s="43"/>
      <c r="AA8" s="43"/>
      <c r="AB8" s="43"/>
      <c r="AC8" s="43"/>
      <c r="AD8" s="43"/>
      <c r="AE8" s="43"/>
      <c r="AF8" s="43"/>
      <c r="AG8" s="43"/>
      <c r="AH8" s="43"/>
      <c r="AI8" s="43"/>
      <c r="AJ8" s="43"/>
      <c r="AK8" s="43"/>
    </row>
    <row r="9" spans="2:43" ht="14.25" customHeight="1">
      <c r="B9" s="9">
        <v>0</v>
      </c>
      <c r="C9" s="8" t="s">
        <v>240</v>
      </c>
      <c r="D9" s="41">
        <f>AD9+AB9-AJ9+AA9-AI9-Z9+AH9+Y9-AG9-AC9+AK9-AE9</f>
        <v>27655362.380000018</v>
      </c>
      <c r="E9" s="42"/>
      <c r="F9" s="42"/>
      <c r="G9" s="42"/>
      <c r="H9" s="42"/>
      <c r="I9" s="42"/>
      <c r="J9" s="42"/>
      <c r="K9" s="42"/>
      <c r="L9" s="42"/>
      <c r="M9" s="42"/>
      <c r="N9" s="42"/>
      <c r="O9" s="42"/>
      <c r="P9" s="42"/>
      <c r="Q9" s="42"/>
      <c r="R9" s="42"/>
      <c r="S9" s="42"/>
      <c r="T9" s="42"/>
      <c r="U9" s="42"/>
      <c r="V9" s="42"/>
      <c r="W9" s="42"/>
      <c r="X9" s="42"/>
      <c r="Y9" s="184">
        <v>10859762.27</v>
      </c>
      <c r="Z9" s="185">
        <v>0</v>
      </c>
      <c r="AA9" s="185">
        <v>37185459.2</v>
      </c>
      <c r="AB9" s="185">
        <v>26222586.19</v>
      </c>
      <c r="AC9" s="185">
        <v>0</v>
      </c>
      <c r="AD9" s="185">
        <v>20356382.13</v>
      </c>
      <c r="AE9" s="185">
        <v>3963539.66</v>
      </c>
      <c r="AF9" s="185">
        <v>352727.45</v>
      </c>
      <c r="AG9" s="185">
        <v>14739454.55</v>
      </c>
      <c r="AH9" s="185">
        <v>0</v>
      </c>
      <c r="AI9" s="185">
        <v>40589999.76</v>
      </c>
      <c r="AJ9" s="185">
        <v>7675833.44</v>
      </c>
      <c r="AK9" s="185">
        <v>0</v>
      </c>
      <c r="AL9" s="186"/>
      <c r="AM9" s="186"/>
      <c r="AN9" s="186"/>
      <c r="AO9" s="186"/>
      <c r="AP9" s="186"/>
      <c r="AQ9" s="186"/>
    </row>
    <row r="10" spans="2:43" ht="14.25" customHeight="1">
      <c r="B10" s="9">
        <v>0</v>
      </c>
      <c r="C10" s="8" t="s">
        <v>241</v>
      </c>
      <c r="D10" s="121">
        <v>0</v>
      </c>
      <c r="E10" s="121">
        <v>384766.07</v>
      </c>
      <c r="F10" s="121">
        <v>293860.03</v>
      </c>
      <c r="G10" s="42"/>
      <c r="H10" s="42"/>
      <c r="I10" s="42"/>
      <c r="J10" s="42"/>
      <c r="K10" s="42"/>
      <c r="L10" s="42"/>
      <c r="M10" s="42"/>
      <c r="N10" s="42"/>
      <c r="O10" s="42"/>
      <c r="P10" s="42"/>
      <c r="Q10" s="42"/>
      <c r="R10" s="42"/>
      <c r="S10" s="42"/>
      <c r="T10" s="42"/>
      <c r="U10" s="42"/>
      <c r="V10" s="42"/>
      <c r="W10" s="42"/>
      <c r="X10" s="42"/>
      <c r="Y10" s="187"/>
      <c r="Z10" s="187"/>
      <c r="AA10" s="187"/>
      <c r="AB10" s="187"/>
      <c r="AC10" s="187"/>
      <c r="AD10" s="187"/>
      <c r="AE10" s="187"/>
      <c r="AF10" s="187"/>
      <c r="AG10" s="187"/>
      <c r="AH10" s="187"/>
      <c r="AI10" s="187"/>
      <c r="AJ10" s="187"/>
      <c r="AK10" s="187"/>
      <c r="AL10" s="186"/>
      <c r="AM10" s="186"/>
      <c r="AN10" s="186"/>
      <c r="AO10" s="186"/>
      <c r="AP10" s="186"/>
      <c r="AQ10" s="186"/>
    </row>
    <row r="11" spans="2:43" ht="24" customHeight="1">
      <c r="B11" s="9">
        <v>0</v>
      </c>
      <c r="C11" s="8" t="s">
        <v>242</v>
      </c>
      <c r="D11" s="121">
        <v>0</v>
      </c>
      <c r="E11" s="121">
        <v>361642.59</v>
      </c>
      <c r="F11" s="121">
        <v>276468.17</v>
      </c>
      <c r="G11" s="42"/>
      <c r="H11" s="42"/>
      <c r="I11" s="42"/>
      <c r="J11" s="42"/>
      <c r="K11" s="42"/>
      <c r="L11" s="42"/>
      <c r="M11" s="42"/>
      <c r="N11" s="42"/>
      <c r="O11" s="42"/>
      <c r="P11" s="42"/>
      <c r="Q11" s="42"/>
      <c r="R11" s="42"/>
      <c r="S11" s="42"/>
      <c r="T11" s="42"/>
      <c r="U11" s="42"/>
      <c r="V11" s="42"/>
      <c r="W11" s="42"/>
      <c r="X11" s="42"/>
      <c r="Y11" s="187"/>
      <c r="Z11" s="187"/>
      <c r="AA11" s="187"/>
      <c r="AB11" s="187"/>
      <c r="AC11" s="187"/>
      <c r="AD11" s="187"/>
      <c r="AE11" s="187"/>
      <c r="AF11" s="187"/>
      <c r="AG11" s="187"/>
      <c r="AH11" s="187"/>
      <c r="AI11" s="187"/>
      <c r="AJ11" s="187"/>
      <c r="AK11" s="187"/>
      <c r="AL11" s="186"/>
      <c r="AM11" s="186"/>
      <c r="AN11" s="186"/>
      <c r="AO11" s="186"/>
      <c r="AP11" s="186"/>
      <c r="AQ11" s="186"/>
    </row>
    <row r="12" spans="2:43" ht="14.25" customHeight="1">
      <c r="B12" s="9">
        <v>0</v>
      </c>
      <c r="C12" s="8" t="s">
        <v>243</v>
      </c>
      <c r="D12" s="121">
        <v>2579087.94</v>
      </c>
      <c r="E12" s="121">
        <v>0</v>
      </c>
      <c r="F12" s="121">
        <v>0</v>
      </c>
      <c r="G12" s="42"/>
      <c r="H12" s="42"/>
      <c r="I12" s="42"/>
      <c r="J12" s="42"/>
      <c r="K12" s="42"/>
      <c r="L12" s="42"/>
      <c r="M12" s="42"/>
      <c r="N12" s="42"/>
      <c r="O12" s="42"/>
      <c r="P12" s="42"/>
      <c r="Q12" s="42"/>
      <c r="R12" s="42"/>
      <c r="S12" s="42"/>
      <c r="T12" s="42"/>
      <c r="U12" s="42"/>
      <c r="V12" s="42"/>
      <c r="W12" s="42"/>
      <c r="X12" s="42"/>
      <c r="Y12" s="188"/>
      <c r="Z12" s="188"/>
      <c r="AA12" s="188"/>
      <c r="AB12" s="188"/>
      <c r="AC12" s="188"/>
      <c r="AD12" s="188"/>
      <c r="AE12" s="188"/>
      <c r="AF12" s="188"/>
      <c r="AG12" s="188"/>
      <c r="AH12" s="188"/>
      <c r="AI12" s="188"/>
      <c r="AJ12" s="188"/>
      <c r="AK12" s="188"/>
      <c r="AL12" s="186"/>
      <c r="AM12" s="186"/>
      <c r="AN12" s="186"/>
      <c r="AO12" s="186"/>
      <c r="AP12" s="186"/>
      <c r="AQ12" s="186"/>
    </row>
    <row r="13" spans="2:43" ht="24" customHeight="1">
      <c r="B13" s="9">
        <v>0</v>
      </c>
      <c r="C13" s="8" t="s">
        <v>244</v>
      </c>
      <c r="D13" s="41">
        <f>D10+D12-Y13</f>
        <v>0</v>
      </c>
      <c r="E13" s="41">
        <f>E10+E12-Z13</f>
        <v>384766.07</v>
      </c>
      <c r="F13" s="41">
        <f>F10+F12-AA13</f>
        <v>293860.03</v>
      </c>
      <c r="G13" s="42"/>
      <c r="H13" s="42"/>
      <c r="I13" s="42"/>
      <c r="J13" s="42"/>
      <c r="K13" s="42"/>
      <c r="L13" s="42"/>
      <c r="M13" s="42"/>
      <c r="N13" s="42"/>
      <c r="O13" s="42"/>
      <c r="P13" s="42"/>
      <c r="Q13" s="42"/>
      <c r="R13" s="42"/>
      <c r="S13" s="42"/>
      <c r="T13" s="42"/>
      <c r="U13" s="42"/>
      <c r="V13" s="42"/>
      <c r="W13" s="42"/>
      <c r="X13" s="42"/>
      <c r="Y13" s="189">
        <v>2579087.94</v>
      </c>
      <c r="Z13" s="189">
        <v>0</v>
      </c>
      <c r="AA13" s="189">
        <v>0</v>
      </c>
      <c r="AB13" s="190" t="s">
        <v>245</v>
      </c>
      <c r="AC13" s="187"/>
      <c r="AD13" s="187"/>
      <c r="AE13" s="187"/>
      <c r="AF13" s="187"/>
      <c r="AG13" s="187"/>
      <c r="AH13" s="187"/>
      <c r="AI13" s="187"/>
      <c r="AJ13" s="187"/>
      <c r="AK13" s="187"/>
      <c r="AL13" s="186"/>
      <c r="AM13" s="186"/>
      <c r="AN13" s="186"/>
      <c r="AO13" s="186"/>
      <c r="AP13" s="186"/>
      <c r="AQ13" s="186"/>
    </row>
    <row r="14" spans="2:43" ht="14.25" customHeight="1">
      <c r="B14" s="2" t="s">
        <v>246</v>
      </c>
      <c r="C14" s="8" t="s">
        <v>247</v>
      </c>
      <c r="D14" s="121">
        <v>13814131.67</v>
      </c>
      <c r="E14" s="121">
        <v>12514131.67</v>
      </c>
      <c r="F14" s="121">
        <v>12514131.67</v>
      </c>
      <c r="G14" s="121">
        <v>13769553.6</v>
      </c>
      <c r="H14" s="121">
        <v>12419186.3</v>
      </c>
      <c r="I14" s="121">
        <v>10600351.72</v>
      </c>
      <c r="J14" s="121">
        <v>8273353.7</v>
      </c>
      <c r="K14" s="121">
        <v>8241794.94</v>
      </c>
      <c r="L14" s="121">
        <v>7615260.22</v>
      </c>
      <c r="M14" s="121">
        <v>19930712.53</v>
      </c>
      <c r="N14" s="121">
        <v>24769117.11</v>
      </c>
      <c r="O14" s="121">
        <v>25408826.37</v>
      </c>
      <c r="P14" s="121">
        <v>14540914.51</v>
      </c>
      <c r="Q14" s="121">
        <v>13419881.97</v>
      </c>
      <c r="R14" s="121">
        <v>12996078.09</v>
      </c>
      <c r="S14" s="121">
        <v>26443816.76</v>
      </c>
      <c r="T14" s="121">
        <v>11153330.89</v>
      </c>
      <c r="U14" s="121">
        <v>9836011.14</v>
      </c>
      <c r="V14" s="121">
        <v>9459496.08</v>
      </c>
      <c r="W14" s="42">
        <f>IF($D$239=1,(I14+0),(R14+0))</f>
        <v>12996078.09</v>
      </c>
      <c r="X14" s="42">
        <f>IF($D$239=1,(V14+0),(O14+0))</f>
        <v>25408826.37</v>
      </c>
      <c r="Y14" s="187"/>
      <c r="Z14" s="187"/>
      <c r="AA14" s="187"/>
      <c r="AB14" s="187"/>
      <c r="AC14" s="187"/>
      <c r="AD14" s="187"/>
      <c r="AE14" s="187"/>
      <c r="AF14" s="187"/>
      <c r="AG14" s="187"/>
      <c r="AH14" s="187"/>
      <c r="AI14" s="187"/>
      <c r="AJ14" s="187"/>
      <c r="AK14" s="187"/>
      <c r="AL14" s="186"/>
      <c r="AM14" s="186"/>
      <c r="AN14" s="186"/>
      <c r="AO14" s="186"/>
      <c r="AP14" s="186"/>
      <c r="AQ14" s="186"/>
    </row>
    <row r="15" spans="2:43" ht="14.25" customHeight="1">
      <c r="B15" s="2" t="s">
        <v>248</v>
      </c>
      <c r="C15" s="8" t="s">
        <v>249</v>
      </c>
      <c r="D15" s="41"/>
      <c r="E15" s="42"/>
      <c r="F15" s="42"/>
      <c r="G15" s="121">
        <v>12011340.97</v>
      </c>
      <c r="H15" s="121">
        <v>10601564.15</v>
      </c>
      <c r="I15" s="121">
        <v>8781042.74</v>
      </c>
      <c r="J15" s="122">
        <v>6626556.07</v>
      </c>
      <c r="K15" s="122">
        <v>6686985.85</v>
      </c>
      <c r="L15" s="122">
        <v>5958000.38</v>
      </c>
      <c r="M15" s="121">
        <v>17818581.58</v>
      </c>
      <c r="N15" s="121">
        <v>22840079.96</v>
      </c>
      <c r="O15" s="121">
        <v>23326704.33</v>
      </c>
      <c r="P15" s="121">
        <v>12790156.66</v>
      </c>
      <c r="Q15" s="121">
        <v>11602259.82</v>
      </c>
      <c r="R15" s="121">
        <v>11176769.11</v>
      </c>
      <c r="S15" s="121">
        <v>24342951.45</v>
      </c>
      <c r="T15" s="121">
        <v>9102572.16</v>
      </c>
      <c r="U15" s="121">
        <v>8181408.85</v>
      </c>
      <c r="V15" s="121">
        <v>7644208.39</v>
      </c>
      <c r="W15" s="42">
        <f>IF($D$239=1,(I15+0),(R15+0))</f>
        <v>11176769.11</v>
      </c>
      <c r="X15" s="42">
        <f>IF($D$239=1,(V15+0),(O15+0))</f>
        <v>23326704.33</v>
      </c>
      <c r="Y15" s="187"/>
      <c r="Z15" s="187"/>
      <c r="AA15" s="187"/>
      <c r="AB15" s="187"/>
      <c r="AC15" s="187"/>
      <c r="AD15" s="187"/>
      <c r="AE15" s="187"/>
      <c r="AF15" s="187"/>
      <c r="AG15" s="187"/>
      <c r="AH15" s="187"/>
      <c r="AI15" s="187"/>
      <c r="AJ15" s="187"/>
      <c r="AK15" s="187"/>
      <c r="AL15" s="186"/>
      <c r="AM15" s="186"/>
      <c r="AN15" s="186"/>
      <c r="AO15" s="186"/>
      <c r="AP15" s="186"/>
      <c r="AQ15" s="186"/>
    </row>
    <row r="16" spans="2:43" ht="14.25" customHeight="1">
      <c r="B16" s="2" t="s">
        <v>250</v>
      </c>
      <c r="C16" s="8" t="s">
        <v>251</v>
      </c>
      <c r="D16" s="41"/>
      <c r="E16" s="42"/>
      <c r="F16" s="42"/>
      <c r="G16" s="121">
        <v>0</v>
      </c>
      <c r="H16" s="121">
        <v>0</v>
      </c>
      <c r="I16" s="121">
        <v>0</v>
      </c>
      <c r="J16" s="122">
        <v>0</v>
      </c>
      <c r="K16" s="122">
        <v>0</v>
      </c>
      <c r="L16" s="122">
        <v>0</v>
      </c>
      <c r="M16" s="121">
        <v>0</v>
      </c>
      <c r="N16" s="121">
        <v>0</v>
      </c>
      <c r="O16" s="121">
        <v>0</v>
      </c>
      <c r="P16" s="121">
        <v>0</v>
      </c>
      <c r="Q16" s="121">
        <v>0</v>
      </c>
      <c r="R16" s="121">
        <v>0</v>
      </c>
      <c r="S16" s="121">
        <v>0</v>
      </c>
      <c r="T16" s="121">
        <v>0</v>
      </c>
      <c r="U16" s="121">
        <v>0</v>
      </c>
      <c r="V16" s="121">
        <v>0</v>
      </c>
      <c r="W16" s="42">
        <f>IF($D$239=1,(I16+0),(R16+0))</f>
        <v>0</v>
      </c>
      <c r="X16" s="42">
        <f>IF($D$239=1,(V16+0),(O16+0))</f>
        <v>0</v>
      </c>
      <c r="Y16" s="187"/>
      <c r="Z16" s="187"/>
      <c r="AA16" s="187"/>
      <c r="AB16" s="187"/>
      <c r="AC16" s="187"/>
      <c r="AD16" s="187"/>
      <c r="AE16" s="187"/>
      <c r="AF16" s="187"/>
      <c r="AG16" s="187"/>
      <c r="AH16" s="187"/>
      <c r="AI16" s="187"/>
      <c r="AJ16" s="187"/>
      <c r="AK16" s="187"/>
      <c r="AL16" s="186"/>
      <c r="AM16" s="186"/>
      <c r="AN16" s="186"/>
      <c r="AO16" s="186"/>
      <c r="AP16" s="186"/>
      <c r="AQ16" s="186"/>
    </row>
    <row r="17" spans="2:37" ht="14.25" customHeight="1">
      <c r="B17" s="2" t="s">
        <v>252</v>
      </c>
      <c r="C17" s="8" t="s">
        <v>253</v>
      </c>
      <c r="D17" s="121">
        <v>14097486.88</v>
      </c>
      <c r="E17" s="121">
        <v>13879884.51</v>
      </c>
      <c r="F17" s="121">
        <v>13879884.51</v>
      </c>
      <c r="G17" s="121">
        <v>14279286.7</v>
      </c>
      <c r="H17" s="121">
        <v>14711385.11</v>
      </c>
      <c r="I17" s="121">
        <v>13594539.94</v>
      </c>
      <c r="J17" s="121">
        <v>11943667.31</v>
      </c>
      <c r="K17" s="121">
        <v>12034574.61</v>
      </c>
      <c r="L17" s="121">
        <v>12376434.84</v>
      </c>
      <c r="M17" s="121">
        <v>22045236.75</v>
      </c>
      <c r="N17" s="121">
        <v>19037801.9</v>
      </c>
      <c r="O17" s="121">
        <v>17195574.37</v>
      </c>
      <c r="P17" s="121">
        <v>16119647.88</v>
      </c>
      <c r="Q17" s="121">
        <v>14609067.24</v>
      </c>
      <c r="R17" s="121">
        <v>14465211.42</v>
      </c>
      <c r="S17" s="121">
        <v>15417491.56</v>
      </c>
      <c r="T17" s="121">
        <v>15827754.6</v>
      </c>
      <c r="U17" s="121">
        <v>17153018.7</v>
      </c>
      <c r="V17" s="121">
        <v>15038454.73</v>
      </c>
      <c r="W17" s="42">
        <f>IF($D$239=1,(I17+0),(R17+0))</f>
        <v>14465211.42</v>
      </c>
      <c r="X17" s="42">
        <f>IF($D$239=1,(V17+0),(O17+0))</f>
        <v>17195574.37</v>
      </c>
      <c r="Y17" s="43"/>
      <c r="Z17" s="43"/>
      <c r="AA17" s="43"/>
      <c r="AB17" s="43"/>
      <c r="AC17" s="43"/>
      <c r="AD17" s="43"/>
      <c r="AE17" s="43"/>
      <c r="AF17" s="43"/>
      <c r="AG17" s="43"/>
      <c r="AH17" s="43"/>
      <c r="AI17" s="43"/>
      <c r="AJ17" s="43"/>
      <c r="AK17" s="43"/>
    </row>
    <row r="18" spans="2:37" ht="14.25" customHeight="1">
      <c r="B18" s="2" t="s">
        <v>254</v>
      </c>
      <c r="C18" s="8" t="s">
        <v>255</v>
      </c>
      <c r="D18" s="121">
        <v>7427158.39</v>
      </c>
      <c r="E18" s="121">
        <v>7480158.39</v>
      </c>
      <c r="F18" s="121">
        <v>7480158.39</v>
      </c>
      <c r="G18" s="121">
        <v>4454642.99</v>
      </c>
      <c r="H18" s="121">
        <v>5731427.85</v>
      </c>
      <c r="I18" s="121">
        <v>4867373.87</v>
      </c>
      <c r="J18" s="121">
        <v>2989883.64</v>
      </c>
      <c r="K18" s="121">
        <v>3661920.33</v>
      </c>
      <c r="L18" s="121">
        <v>3998240.44</v>
      </c>
      <c r="M18" s="121">
        <v>12023397.61</v>
      </c>
      <c r="N18" s="121">
        <v>13816454.45</v>
      </c>
      <c r="O18" s="121">
        <v>14470026.73</v>
      </c>
      <c r="P18" s="121">
        <v>7274834.05</v>
      </c>
      <c r="Q18" s="121">
        <v>8584258.99</v>
      </c>
      <c r="R18" s="121">
        <v>7934943.98</v>
      </c>
      <c r="S18" s="121">
        <v>13298216.61</v>
      </c>
      <c r="T18" s="121">
        <v>3731540.06</v>
      </c>
      <c r="U18" s="121">
        <v>4864311.51</v>
      </c>
      <c r="V18" s="121">
        <v>5410128.3</v>
      </c>
      <c r="W18" s="42">
        <f>IF($D$239=1,(I18+0),(R18+0))</f>
        <v>7934943.98</v>
      </c>
      <c r="X18" s="42">
        <f>IF($D$239=1,(V18+0),(O18+0))</f>
        <v>14470026.73</v>
      </c>
      <c r="Y18" s="43"/>
      <c r="Z18" s="43"/>
      <c r="AA18" s="43"/>
      <c r="AB18" s="43"/>
      <c r="AC18" s="43"/>
      <c r="AD18" s="43"/>
      <c r="AE18" s="43"/>
      <c r="AF18" s="43"/>
      <c r="AG18" s="43"/>
      <c r="AH18" s="43"/>
      <c r="AI18" s="43"/>
      <c r="AJ18" s="43"/>
      <c r="AK18" s="43"/>
    </row>
    <row r="19" spans="2:37" ht="24" customHeight="1">
      <c r="B19" s="2" t="s">
        <v>256</v>
      </c>
      <c r="C19" s="8" t="s">
        <v>257</v>
      </c>
      <c r="D19" s="121">
        <v>0</v>
      </c>
      <c r="E19" s="121">
        <v>0</v>
      </c>
      <c r="F19" s="121">
        <v>0</v>
      </c>
      <c r="G19" s="42"/>
      <c r="H19" s="42"/>
      <c r="I19" s="42"/>
      <c r="J19" s="42"/>
      <c r="K19" s="42"/>
      <c r="L19" s="42"/>
      <c r="M19" s="42"/>
      <c r="N19" s="42"/>
      <c r="O19" s="42"/>
      <c r="P19" s="42"/>
      <c r="Q19" s="42"/>
      <c r="R19" s="42"/>
      <c r="S19" s="42"/>
      <c r="T19" s="42"/>
      <c r="U19" s="42"/>
      <c r="V19" s="42"/>
      <c r="W19" s="42"/>
      <c r="X19" s="42"/>
      <c r="Y19" s="43"/>
      <c r="Z19" s="43"/>
      <c r="AA19" s="43"/>
      <c r="AB19" s="43"/>
      <c r="AC19" s="43"/>
      <c r="AD19" s="43"/>
      <c r="AE19" s="43"/>
      <c r="AF19" s="43"/>
      <c r="AG19" s="43"/>
      <c r="AH19" s="43"/>
      <c r="AI19" s="43"/>
      <c r="AJ19" s="43"/>
      <c r="AK19" s="43"/>
    </row>
    <row r="20" spans="2:37" ht="24" customHeight="1">
      <c r="B20" s="2" t="s">
        <v>258</v>
      </c>
      <c r="C20" s="8" t="s">
        <v>259</v>
      </c>
      <c r="D20" s="121">
        <v>0</v>
      </c>
      <c r="E20" s="121">
        <v>0</v>
      </c>
      <c r="F20" s="121">
        <v>0</v>
      </c>
      <c r="G20" s="42"/>
      <c r="H20" s="42"/>
      <c r="I20" s="42"/>
      <c r="J20" s="42"/>
      <c r="K20" s="42"/>
      <c r="L20" s="42"/>
      <c r="M20" s="42"/>
      <c r="N20" s="42"/>
      <c r="O20" s="42"/>
      <c r="P20" s="42"/>
      <c r="Q20" s="42"/>
      <c r="R20" s="42"/>
      <c r="S20" s="42"/>
      <c r="T20" s="42"/>
      <c r="U20" s="42"/>
      <c r="V20" s="42"/>
      <c r="W20" s="42"/>
      <c r="X20" s="42"/>
      <c r="Y20" s="43"/>
      <c r="Z20" s="43"/>
      <c r="AA20" s="43"/>
      <c r="AB20" s="43"/>
      <c r="AC20" s="43"/>
      <c r="AD20" s="43"/>
      <c r="AE20" s="43"/>
      <c r="AF20" s="43"/>
      <c r="AG20" s="43"/>
      <c r="AH20" s="43"/>
      <c r="AI20" s="43"/>
      <c r="AJ20" s="43"/>
      <c r="AK20" s="43"/>
    </row>
    <row r="21" spans="2:37" ht="24" customHeight="1">
      <c r="B21" s="2" t="s">
        <v>260</v>
      </c>
      <c r="C21" s="8" t="s">
        <v>261</v>
      </c>
      <c r="D21" s="121">
        <v>0</v>
      </c>
      <c r="E21" s="121">
        <v>0</v>
      </c>
      <c r="F21" s="121">
        <v>0</v>
      </c>
      <c r="G21" s="42"/>
      <c r="H21" s="42"/>
      <c r="I21" s="42"/>
      <c r="J21" s="42"/>
      <c r="K21" s="42"/>
      <c r="L21" s="42"/>
      <c r="M21" s="42"/>
      <c r="N21" s="42"/>
      <c r="O21" s="42"/>
      <c r="P21" s="42"/>
      <c r="Q21" s="42"/>
      <c r="R21" s="42"/>
      <c r="S21" s="42"/>
      <c r="T21" s="42"/>
      <c r="U21" s="42"/>
      <c r="V21" s="42"/>
      <c r="W21" s="42"/>
      <c r="X21" s="42"/>
      <c r="Y21" s="43"/>
      <c r="Z21" s="43"/>
      <c r="AA21" s="43"/>
      <c r="AB21" s="43"/>
      <c r="AC21" s="43"/>
      <c r="AD21" s="43"/>
      <c r="AE21" s="43"/>
      <c r="AF21" s="43"/>
      <c r="AG21" s="43"/>
      <c r="AH21" s="43"/>
      <c r="AI21" s="43"/>
      <c r="AJ21" s="43"/>
      <c r="AK21" s="43"/>
    </row>
    <row r="22" spans="2:37" ht="14.25" customHeight="1">
      <c r="B22" s="2" t="s">
        <v>262</v>
      </c>
      <c r="C22" s="8" t="s">
        <v>263</v>
      </c>
      <c r="D22" s="121">
        <v>0</v>
      </c>
      <c r="E22" s="121">
        <v>0</v>
      </c>
      <c r="F22" s="121">
        <v>0</v>
      </c>
      <c r="G22" s="42"/>
      <c r="H22" s="42"/>
      <c r="I22" s="42"/>
      <c r="J22" s="42"/>
      <c r="K22" s="42"/>
      <c r="L22" s="42"/>
      <c r="M22" s="42"/>
      <c r="N22" s="42"/>
      <c r="O22" s="42"/>
      <c r="P22" s="42"/>
      <c r="Q22" s="42"/>
      <c r="R22" s="42"/>
      <c r="S22" s="42"/>
      <c r="T22" s="42"/>
      <c r="U22" s="42"/>
      <c r="V22" s="42"/>
      <c r="W22" s="42"/>
      <c r="X22" s="42"/>
      <c r="Y22" s="43"/>
      <c r="Z22" s="43"/>
      <c r="AA22" s="43"/>
      <c r="AB22" s="43"/>
      <c r="AC22" s="43"/>
      <c r="AD22" s="43"/>
      <c r="AE22" s="43"/>
      <c r="AF22" s="43"/>
      <c r="AG22" s="43"/>
      <c r="AH22" s="43"/>
      <c r="AI22" s="43"/>
      <c r="AJ22" s="43"/>
      <c r="AK22" s="43"/>
    </row>
    <row r="23" spans="2:37" ht="14.25" customHeight="1">
      <c r="B23" s="2" t="s">
        <v>264</v>
      </c>
      <c r="C23" s="8" t="s">
        <v>265</v>
      </c>
      <c r="D23" s="121">
        <v>0</v>
      </c>
      <c r="E23" s="121">
        <v>0</v>
      </c>
      <c r="F23" s="121">
        <v>0</v>
      </c>
      <c r="G23" s="42"/>
      <c r="H23" s="42"/>
      <c r="I23" s="42"/>
      <c r="J23" s="42"/>
      <c r="K23" s="42"/>
      <c r="L23" s="42"/>
      <c r="M23" s="42"/>
      <c r="N23" s="42"/>
      <c r="O23" s="42"/>
      <c r="P23" s="42"/>
      <c r="Q23" s="42"/>
      <c r="R23" s="42"/>
      <c r="S23" s="42"/>
      <c r="T23" s="42"/>
      <c r="U23" s="42"/>
      <c r="V23" s="42"/>
      <c r="W23" s="42"/>
      <c r="X23" s="42"/>
      <c r="Y23" s="43"/>
      <c r="Z23" s="43"/>
      <c r="AA23" s="43"/>
      <c r="AB23" s="43"/>
      <c r="AC23" s="43"/>
      <c r="AD23" s="43"/>
      <c r="AE23" s="43"/>
      <c r="AF23" s="43"/>
      <c r="AG23" s="43"/>
      <c r="AH23" s="43"/>
      <c r="AI23" s="43"/>
      <c r="AJ23" s="43"/>
      <c r="AK23" s="43"/>
    </row>
    <row r="24" spans="2:37" ht="14.25" customHeight="1">
      <c r="B24" s="2" t="s">
        <v>266</v>
      </c>
      <c r="C24" s="8" t="s">
        <v>267</v>
      </c>
      <c r="D24" s="121">
        <v>0</v>
      </c>
      <c r="E24" s="121">
        <v>0</v>
      </c>
      <c r="F24" s="121">
        <v>0</v>
      </c>
      <c r="G24" s="42"/>
      <c r="H24" s="42"/>
      <c r="I24" s="42"/>
      <c r="J24" s="42"/>
      <c r="K24" s="42"/>
      <c r="L24" s="42"/>
      <c r="M24" s="42"/>
      <c r="N24" s="42"/>
      <c r="O24" s="42"/>
      <c r="P24" s="42"/>
      <c r="Q24" s="42"/>
      <c r="R24" s="42"/>
      <c r="S24" s="42"/>
      <c r="T24" s="42"/>
      <c r="U24" s="42"/>
      <c r="V24" s="42"/>
      <c r="W24" s="42"/>
      <c r="X24" s="42"/>
      <c r="Y24" s="43"/>
      <c r="Z24" s="43"/>
      <c r="AA24" s="43"/>
      <c r="AB24" s="43"/>
      <c r="AC24" s="43"/>
      <c r="AD24" s="43"/>
      <c r="AE24" s="43"/>
      <c r="AF24" s="43"/>
      <c r="AG24" s="43"/>
      <c r="AH24" s="43"/>
      <c r="AI24" s="43"/>
      <c r="AJ24" s="43"/>
      <c r="AK24" s="43"/>
    </row>
    <row r="25" spans="2:37" ht="14.25" customHeight="1">
      <c r="B25" s="2" t="s">
        <v>268</v>
      </c>
      <c r="C25" s="8" t="s">
        <v>269</v>
      </c>
      <c r="D25" s="121">
        <v>0</v>
      </c>
      <c r="E25" s="121">
        <v>0</v>
      </c>
      <c r="F25" s="121">
        <v>0</v>
      </c>
      <c r="G25" s="42"/>
      <c r="H25" s="42"/>
      <c r="I25" s="42"/>
      <c r="J25" s="42"/>
      <c r="K25" s="42"/>
      <c r="L25" s="42"/>
      <c r="M25" s="42"/>
      <c r="N25" s="42"/>
      <c r="O25" s="42"/>
      <c r="P25" s="42"/>
      <c r="Q25" s="42"/>
      <c r="R25" s="42"/>
      <c r="S25" s="42"/>
      <c r="T25" s="42"/>
      <c r="U25" s="42"/>
      <c r="V25" s="42"/>
      <c r="W25" s="42"/>
      <c r="X25" s="42"/>
      <c r="Y25" s="43"/>
      <c r="Z25" s="43"/>
      <c r="AA25" s="43"/>
      <c r="AB25" s="43"/>
      <c r="AC25" s="43"/>
      <c r="AD25" s="43"/>
      <c r="AE25" s="43"/>
      <c r="AF25" s="43"/>
      <c r="AG25" s="43"/>
      <c r="AH25" s="43"/>
      <c r="AI25" s="43"/>
      <c r="AJ25" s="43"/>
      <c r="AK25" s="43"/>
    </row>
    <row r="26" spans="2:37" ht="15" customHeight="1">
      <c r="B26" s="2" t="s">
        <v>270</v>
      </c>
      <c r="C26" s="8" t="s">
        <v>271</v>
      </c>
      <c r="D26" s="121">
        <v>6503000</v>
      </c>
      <c r="E26" s="121">
        <v>6503000</v>
      </c>
      <c r="F26" s="121">
        <v>6503000</v>
      </c>
      <c r="G26" s="42"/>
      <c r="H26" s="42"/>
      <c r="I26" s="42"/>
      <c r="J26" s="42"/>
      <c r="K26" s="42"/>
      <c r="L26" s="42"/>
      <c r="M26" s="42"/>
      <c r="N26" s="42"/>
      <c r="O26" s="42"/>
      <c r="P26" s="42"/>
      <c r="Q26" s="42"/>
      <c r="R26" s="42"/>
      <c r="S26" s="42"/>
      <c r="T26" s="42"/>
      <c r="U26" s="42"/>
      <c r="V26" s="42"/>
      <c r="W26" s="42"/>
      <c r="X26" s="42"/>
      <c r="Y26" s="43"/>
      <c r="Z26" s="43"/>
      <c r="AA26" s="43"/>
      <c r="AB26" s="43"/>
      <c r="AC26" s="117"/>
      <c r="AD26" s="117"/>
      <c r="AE26" s="117"/>
      <c r="AF26" s="43"/>
      <c r="AG26" s="43"/>
      <c r="AH26" s="43"/>
      <c r="AI26" s="43"/>
      <c r="AJ26" s="43"/>
      <c r="AK26" s="43"/>
    </row>
    <row r="27" spans="2:37" ht="15" customHeight="1">
      <c r="B27" s="2" t="s">
        <v>272</v>
      </c>
      <c r="C27" s="8" t="s">
        <v>273</v>
      </c>
      <c r="D27" s="121">
        <v>0</v>
      </c>
      <c r="E27" s="121">
        <v>0</v>
      </c>
      <c r="F27" s="121">
        <v>0</v>
      </c>
      <c r="G27" s="42"/>
      <c r="H27" s="42"/>
      <c r="I27" s="42"/>
      <c r="J27" s="42"/>
      <c r="K27" s="42"/>
      <c r="L27" s="42"/>
      <c r="M27" s="42"/>
      <c r="N27" s="42"/>
      <c r="O27" s="42"/>
      <c r="P27" s="42"/>
      <c r="Q27" s="42"/>
      <c r="R27" s="42"/>
      <c r="S27" s="42"/>
      <c r="T27" s="42"/>
      <c r="U27" s="42"/>
      <c r="V27" s="42"/>
      <c r="W27" s="42"/>
      <c r="X27" s="42"/>
      <c r="Y27" s="43"/>
      <c r="Z27" s="43"/>
      <c r="AA27" s="43"/>
      <c r="AB27" s="43"/>
      <c r="AC27" s="117"/>
      <c r="AD27" s="117"/>
      <c r="AE27" s="117"/>
      <c r="AF27" s="43"/>
      <c r="AG27" s="43"/>
      <c r="AH27" s="43"/>
      <c r="AI27" s="43"/>
      <c r="AJ27" s="43"/>
      <c r="AK27" s="43"/>
    </row>
    <row r="28" spans="2:37" ht="45" customHeight="1">
      <c r="B28" s="2" t="s">
        <v>170</v>
      </c>
      <c r="C28" s="8" t="s">
        <v>171</v>
      </c>
      <c r="D28" s="41">
        <f>D10-D31+D14+D17+D18+D19-D33-D73-D66+Y28+AB28-AE28+AH28</f>
        <v>2.3283064365386963E-10</v>
      </c>
      <c r="E28" s="41">
        <f>E10-E31+E14+E17+E18+E19-E33-E73-E66+Z28+AC28-AF28+AI28</f>
        <v>2.2118911147117615E-09</v>
      </c>
      <c r="F28" s="41">
        <f>F10-F31+F14+F17+F18+F19-F33-F73-F66+AA28+AD28-AG28+AJ28</f>
        <v>0</v>
      </c>
      <c r="G28" s="39"/>
      <c r="H28" s="39"/>
      <c r="I28" s="39"/>
      <c r="J28" s="39"/>
      <c r="K28" s="39"/>
      <c r="L28" s="39"/>
      <c r="M28" s="39"/>
      <c r="N28" s="39"/>
      <c r="O28" s="39"/>
      <c r="P28" s="39"/>
      <c r="Q28" s="39"/>
      <c r="R28" s="39"/>
      <c r="S28" s="39"/>
      <c r="T28" s="42"/>
      <c r="U28" s="42"/>
      <c r="V28" s="42"/>
      <c r="W28" s="42"/>
      <c r="X28" s="42"/>
      <c r="Y28" s="191">
        <v>0</v>
      </c>
      <c r="Z28" s="191">
        <v>0</v>
      </c>
      <c r="AA28" s="191">
        <v>0</v>
      </c>
      <c r="AB28" s="191">
        <v>0</v>
      </c>
      <c r="AC28" s="191">
        <v>0</v>
      </c>
      <c r="AD28" s="191">
        <v>0</v>
      </c>
      <c r="AE28" s="191">
        <v>598000</v>
      </c>
      <c r="AF28" s="191">
        <v>598000</v>
      </c>
      <c r="AG28" s="191">
        <v>598000</v>
      </c>
      <c r="AH28" s="191">
        <v>0</v>
      </c>
      <c r="AI28" s="191">
        <v>0</v>
      </c>
      <c r="AJ28" s="191">
        <v>0</v>
      </c>
      <c r="AK28" s="40"/>
    </row>
    <row r="29" spans="3:31" ht="15" customHeight="1">
      <c r="C29" s="6"/>
      <c r="D29" s="4" t="s">
        <v>219</v>
      </c>
      <c r="E29" s="4" t="s">
        <v>219</v>
      </c>
      <c r="F29" s="4" t="s">
        <v>219</v>
      </c>
      <c r="G29" s="5" t="s">
        <v>274</v>
      </c>
      <c r="H29" s="5" t="s">
        <v>274</v>
      </c>
      <c r="I29" s="5" t="s">
        <v>274</v>
      </c>
      <c r="J29" s="5" t="s">
        <v>274</v>
      </c>
      <c r="K29" s="5" t="s">
        <v>274</v>
      </c>
      <c r="L29" s="5" t="s">
        <v>274</v>
      </c>
      <c r="M29" s="4" t="s">
        <v>219</v>
      </c>
      <c r="Q29" s="5" t="s">
        <v>219</v>
      </c>
      <c r="AC29" s="117"/>
      <c r="AD29" s="117"/>
      <c r="AE29" s="117"/>
    </row>
    <row r="30" spans="1:31" ht="45" customHeight="1">
      <c r="A30" s="2" t="s">
        <v>221</v>
      </c>
      <c r="B30" s="2" t="s">
        <v>222</v>
      </c>
      <c r="C30" s="6" t="s">
        <v>223</v>
      </c>
      <c r="D30" s="11" t="s">
        <v>275</v>
      </c>
      <c r="E30" s="11" t="s">
        <v>276</v>
      </c>
      <c r="F30" s="11" t="s">
        <v>277</v>
      </c>
      <c r="G30" s="11" t="s">
        <v>278</v>
      </c>
      <c r="H30" s="11" t="s">
        <v>231</v>
      </c>
      <c r="I30" s="11" t="s">
        <v>232</v>
      </c>
      <c r="J30" s="11" t="s">
        <v>233</v>
      </c>
      <c r="K30" s="11" t="s">
        <v>234</v>
      </c>
      <c r="L30" s="11" t="s">
        <v>235</v>
      </c>
      <c r="M30" s="11" t="s">
        <v>279</v>
      </c>
      <c r="N30" s="12" t="s">
        <v>280</v>
      </c>
      <c r="O30" s="12" t="s">
        <v>281</v>
      </c>
      <c r="P30" s="12" t="s">
        <v>282</v>
      </c>
      <c r="Q30" s="11" t="s">
        <v>283</v>
      </c>
      <c r="R30" s="12" t="s">
        <v>284</v>
      </c>
      <c r="S30" s="12" t="s">
        <v>285</v>
      </c>
      <c r="T30" s="12" t="s">
        <v>286</v>
      </c>
      <c r="U30" s="12" t="s">
        <v>287</v>
      </c>
      <c r="V30" s="11" t="s">
        <v>161</v>
      </c>
      <c r="W30" s="11" t="s">
        <v>162</v>
      </c>
      <c r="X30" s="11" t="s">
        <v>163</v>
      </c>
      <c r="Y30" s="11" t="s">
        <v>164</v>
      </c>
      <c r="Z30" s="11" t="s">
        <v>165</v>
      </c>
      <c r="AA30" s="11" t="s">
        <v>166</v>
      </c>
      <c r="AB30" s="11" t="s">
        <v>176</v>
      </c>
      <c r="AC30" s="11" t="s">
        <v>177</v>
      </c>
      <c r="AD30" s="11" t="s">
        <v>178</v>
      </c>
      <c r="AE30" s="117"/>
    </row>
    <row r="31" spans="2:31" ht="15" customHeight="1">
      <c r="B31" s="2">
        <v>0</v>
      </c>
      <c r="C31" s="13" t="s">
        <v>288</v>
      </c>
      <c r="D31" s="121">
        <v>0</v>
      </c>
      <c r="E31" s="121">
        <v>0</v>
      </c>
      <c r="F31" s="121">
        <v>0</v>
      </c>
      <c r="G31" s="42"/>
      <c r="H31" s="42"/>
      <c r="I31" s="42"/>
      <c r="J31" s="42"/>
      <c r="K31" s="42"/>
      <c r="L31" s="42"/>
      <c r="M31" s="42"/>
      <c r="N31" s="42"/>
      <c r="O31" s="42"/>
      <c r="P31" s="42"/>
      <c r="Q31" s="42"/>
      <c r="R31" s="42"/>
      <c r="S31" s="42"/>
      <c r="T31" s="42"/>
      <c r="U31" s="42"/>
      <c r="V31" s="42"/>
      <c r="W31" s="42"/>
      <c r="X31" s="42"/>
      <c r="Y31" s="42"/>
      <c r="Z31" s="42"/>
      <c r="AA31" s="42"/>
      <c r="AB31" s="118"/>
      <c r="AC31" s="119"/>
      <c r="AD31" s="119"/>
      <c r="AE31" s="117"/>
    </row>
    <row r="32" spans="2:31" ht="28.5" customHeight="1">
      <c r="B32" s="2" t="s">
        <v>289</v>
      </c>
      <c r="C32" s="13" t="s">
        <v>290</v>
      </c>
      <c r="D32" s="121">
        <v>33937012.8</v>
      </c>
      <c r="E32" s="121">
        <v>32927322.96</v>
      </c>
      <c r="F32" s="121">
        <v>32814617.21</v>
      </c>
      <c r="G32" s="42"/>
      <c r="H32" s="42"/>
      <c r="I32" s="42"/>
      <c r="J32" s="42"/>
      <c r="K32" s="42"/>
      <c r="L32" s="42"/>
      <c r="M32" s="42"/>
      <c r="N32" s="42"/>
      <c r="O32" s="42"/>
      <c r="P32" s="42"/>
      <c r="Q32" s="42"/>
      <c r="R32" s="42"/>
      <c r="S32" s="42"/>
      <c r="T32" s="42"/>
      <c r="U32" s="42"/>
      <c r="V32" s="42"/>
      <c r="W32" s="42"/>
      <c r="X32" s="42"/>
      <c r="Y32" s="42"/>
      <c r="Z32" s="42"/>
      <c r="AA32" s="42"/>
      <c r="AB32" s="118"/>
      <c r="AC32" s="119"/>
      <c r="AD32" s="119"/>
      <c r="AE32" s="117"/>
    </row>
    <row r="33" spans="2:31" ht="15" customHeight="1">
      <c r="B33" s="2" t="s">
        <v>291</v>
      </c>
      <c r="C33" s="13" t="s">
        <v>292</v>
      </c>
      <c r="D33" s="121">
        <v>34321778.87</v>
      </c>
      <c r="E33" s="121">
        <v>33221182.99</v>
      </c>
      <c r="F33" s="121">
        <v>33108477.35</v>
      </c>
      <c r="G33" s="42"/>
      <c r="H33" s="42"/>
      <c r="I33" s="42"/>
      <c r="J33" s="42"/>
      <c r="K33" s="42"/>
      <c r="L33" s="42"/>
      <c r="M33" s="42"/>
      <c r="N33" s="42"/>
      <c r="O33" s="42"/>
      <c r="P33" s="42"/>
      <c r="Q33" s="42"/>
      <c r="R33" s="42"/>
      <c r="S33" s="42"/>
      <c r="T33" s="42"/>
      <c r="U33" s="42"/>
      <c r="V33" s="121">
        <v>28749301.13</v>
      </c>
      <c r="W33" s="121">
        <v>29155566.05</v>
      </c>
      <c r="X33" s="121">
        <v>30722232.35</v>
      </c>
      <c r="Y33" s="121">
        <v>29282317.55</v>
      </c>
      <c r="Z33" s="121">
        <v>29289797.62</v>
      </c>
      <c r="AA33" s="121">
        <v>30488875.98</v>
      </c>
      <c r="AB33" s="118"/>
      <c r="AC33" s="119"/>
      <c r="AD33" s="119"/>
      <c r="AE33" s="117"/>
    </row>
    <row r="34" spans="2:31" ht="15" customHeight="1">
      <c r="B34" s="2" t="s">
        <v>293</v>
      </c>
      <c r="C34" s="13" t="s">
        <v>294</v>
      </c>
      <c r="D34" s="121">
        <v>5640608.74</v>
      </c>
      <c r="E34" s="121">
        <v>5873480.22</v>
      </c>
      <c r="F34" s="121">
        <v>5741494.71</v>
      </c>
      <c r="G34" s="42"/>
      <c r="H34" s="42"/>
      <c r="I34" s="42"/>
      <c r="J34" s="42"/>
      <c r="K34" s="42"/>
      <c r="L34" s="42"/>
      <c r="M34" s="42"/>
      <c r="N34" s="42"/>
      <c r="O34" s="42"/>
      <c r="P34" s="42"/>
      <c r="Q34" s="42"/>
      <c r="R34" s="42"/>
      <c r="S34" s="42"/>
      <c r="T34" s="42"/>
      <c r="U34" s="42"/>
      <c r="V34" s="42"/>
      <c r="W34" s="42"/>
      <c r="X34" s="42"/>
      <c r="Y34" s="42"/>
      <c r="Z34" s="42"/>
      <c r="AA34" s="42"/>
      <c r="AB34" s="118"/>
      <c r="AC34" s="119"/>
      <c r="AD34" s="119"/>
      <c r="AE34" s="117"/>
    </row>
    <row r="35" spans="2:31" ht="24" customHeight="1">
      <c r="B35" s="2" t="s">
        <v>295</v>
      </c>
      <c r="C35" s="13" t="s">
        <v>296</v>
      </c>
      <c r="D35" s="121">
        <v>419175.74</v>
      </c>
      <c r="E35" s="121">
        <v>705678.18</v>
      </c>
      <c r="F35" s="121">
        <v>636557.12</v>
      </c>
      <c r="G35" s="42"/>
      <c r="H35" s="42"/>
      <c r="I35" s="42"/>
      <c r="J35" s="42"/>
      <c r="K35" s="42"/>
      <c r="L35" s="42"/>
      <c r="M35" s="42"/>
      <c r="N35" s="42"/>
      <c r="O35" s="42"/>
      <c r="P35" s="42"/>
      <c r="Q35" s="42"/>
      <c r="R35" s="42"/>
      <c r="S35" s="42"/>
      <c r="T35" s="42"/>
      <c r="U35" s="42"/>
      <c r="V35" s="42"/>
      <c r="W35" s="42"/>
      <c r="X35" s="42"/>
      <c r="Y35" s="42"/>
      <c r="Z35" s="42"/>
      <c r="AA35" s="42"/>
      <c r="AB35" s="118"/>
      <c r="AC35" s="119"/>
      <c r="AD35" s="119"/>
      <c r="AE35" s="117"/>
    </row>
    <row r="36" spans="2:31" ht="24" customHeight="1">
      <c r="B36" s="2" t="s">
        <v>297</v>
      </c>
      <c r="C36" s="13" t="s">
        <v>298</v>
      </c>
      <c r="D36" s="121">
        <v>0</v>
      </c>
      <c r="E36" s="121">
        <v>0</v>
      </c>
      <c r="F36" s="121">
        <v>0</v>
      </c>
      <c r="G36" s="42"/>
      <c r="H36" s="42"/>
      <c r="I36" s="42"/>
      <c r="J36" s="42"/>
      <c r="K36" s="42"/>
      <c r="L36" s="42"/>
      <c r="M36" s="42"/>
      <c r="N36" s="42"/>
      <c r="O36" s="42"/>
      <c r="P36" s="42"/>
      <c r="Q36" s="42"/>
      <c r="R36" s="42"/>
      <c r="S36" s="42"/>
      <c r="T36" s="42"/>
      <c r="U36" s="42"/>
      <c r="V36" s="42"/>
      <c r="W36" s="42"/>
      <c r="X36" s="42"/>
      <c r="Y36" s="42"/>
      <c r="Z36" s="42"/>
      <c r="AA36" s="42"/>
      <c r="AB36" s="118"/>
      <c r="AC36" s="119"/>
      <c r="AD36" s="119"/>
      <c r="AE36" s="117"/>
    </row>
    <row r="37" spans="2:31" ht="15" customHeight="1">
      <c r="B37" s="2" t="s">
        <v>299</v>
      </c>
      <c r="C37" s="13" t="s">
        <v>300</v>
      </c>
      <c r="D37" s="121">
        <v>215424.83</v>
      </c>
      <c r="E37" s="121">
        <v>185424.83</v>
      </c>
      <c r="F37" s="121">
        <v>185424.83</v>
      </c>
      <c r="G37" s="42"/>
      <c r="H37" s="42"/>
      <c r="I37" s="42"/>
      <c r="J37" s="42"/>
      <c r="K37" s="42"/>
      <c r="L37" s="42"/>
      <c r="M37" s="42"/>
      <c r="N37" s="42"/>
      <c r="O37" s="42"/>
      <c r="P37" s="42"/>
      <c r="Q37" s="42"/>
      <c r="R37" s="42"/>
      <c r="S37" s="42"/>
      <c r="T37" s="42"/>
      <c r="U37" s="42"/>
      <c r="V37" s="42"/>
      <c r="W37" s="42"/>
      <c r="X37" s="42"/>
      <c r="Y37" s="42"/>
      <c r="Z37" s="42"/>
      <c r="AA37" s="42"/>
      <c r="AB37" s="118"/>
      <c r="AC37" s="119"/>
      <c r="AD37" s="119"/>
      <c r="AE37" s="117"/>
    </row>
    <row r="38" spans="2:31" ht="15" customHeight="1">
      <c r="B38" s="2" t="s">
        <v>301</v>
      </c>
      <c r="C38" s="13" t="s">
        <v>302</v>
      </c>
      <c r="D38" s="121">
        <v>0</v>
      </c>
      <c r="E38" s="121">
        <v>0</v>
      </c>
      <c r="F38" s="121">
        <v>0</v>
      </c>
      <c r="G38" s="42"/>
      <c r="H38" s="42"/>
      <c r="I38" s="42"/>
      <c r="J38" s="42"/>
      <c r="K38" s="42"/>
      <c r="L38" s="42"/>
      <c r="M38" s="42"/>
      <c r="N38" s="42"/>
      <c r="O38" s="42"/>
      <c r="P38" s="42"/>
      <c r="Q38" s="42"/>
      <c r="R38" s="42"/>
      <c r="S38" s="42"/>
      <c r="T38" s="42"/>
      <c r="U38" s="42"/>
      <c r="V38" s="42"/>
      <c r="W38" s="42"/>
      <c r="X38" s="42"/>
      <c r="Y38" s="42"/>
      <c r="Z38" s="42"/>
      <c r="AA38" s="42"/>
      <c r="AB38" s="118"/>
      <c r="AC38" s="119"/>
      <c r="AD38" s="119"/>
      <c r="AE38" s="117"/>
    </row>
    <row r="39" spans="2:31" ht="28.5" customHeight="1">
      <c r="B39" s="2" t="s">
        <v>303</v>
      </c>
      <c r="C39" s="13" t="s">
        <v>304</v>
      </c>
      <c r="D39" s="121">
        <v>361642.59</v>
      </c>
      <c r="E39" s="121">
        <v>276468.17</v>
      </c>
      <c r="F39" s="121">
        <v>276468.14</v>
      </c>
      <c r="G39" s="42"/>
      <c r="H39" s="42"/>
      <c r="I39" s="42"/>
      <c r="J39" s="42"/>
      <c r="K39" s="42"/>
      <c r="L39" s="42"/>
      <c r="M39" s="42"/>
      <c r="N39" s="42"/>
      <c r="O39" s="42"/>
      <c r="P39" s="42"/>
      <c r="Q39" s="42"/>
      <c r="R39" s="42"/>
      <c r="S39" s="42"/>
      <c r="T39" s="42"/>
      <c r="U39" s="42"/>
      <c r="V39" s="42"/>
      <c r="W39" s="42"/>
      <c r="X39" s="42"/>
      <c r="Y39" s="42"/>
      <c r="Z39" s="42"/>
      <c r="AA39" s="42"/>
      <c r="AB39" s="118"/>
      <c r="AC39" s="119"/>
      <c r="AD39" s="119"/>
      <c r="AE39" s="117"/>
    </row>
    <row r="40" spans="2:31" ht="15" customHeight="1">
      <c r="B40" s="2" t="s">
        <v>305</v>
      </c>
      <c r="C40" s="13" t="s">
        <v>306</v>
      </c>
      <c r="D40" s="121">
        <v>353017.91</v>
      </c>
      <c r="E40" s="121">
        <v>366944.07</v>
      </c>
      <c r="F40" s="121">
        <v>358082.31</v>
      </c>
      <c r="G40" s="42"/>
      <c r="H40" s="42"/>
      <c r="I40" s="42"/>
      <c r="J40" s="42"/>
      <c r="K40" s="42"/>
      <c r="L40" s="42"/>
      <c r="M40" s="42"/>
      <c r="N40" s="42"/>
      <c r="O40" s="42"/>
      <c r="P40" s="42"/>
      <c r="Q40" s="42"/>
      <c r="R40" s="42"/>
      <c r="S40" s="42"/>
      <c r="T40" s="42"/>
      <c r="U40" s="42"/>
      <c r="V40" s="42"/>
      <c r="W40" s="42"/>
      <c r="X40" s="42"/>
      <c r="Y40" s="42"/>
      <c r="Z40" s="42"/>
      <c r="AA40" s="42"/>
      <c r="AB40" s="118"/>
      <c r="AC40" s="119"/>
      <c r="AD40" s="119"/>
      <c r="AE40" s="117"/>
    </row>
    <row r="41" spans="2:31" ht="15" customHeight="1">
      <c r="B41" s="2" t="s">
        <v>307</v>
      </c>
      <c r="C41" s="13" t="s">
        <v>308</v>
      </c>
      <c r="D41" s="121">
        <v>14321892.52</v>
      </c>
      <c r="E41" s="121">
        <v>13628990.15</v>
      </c>
      <c r="F41" s="121">
        <v>13395711.27</v>
      </c>
      <c r="G41" s="44"/>
      <c r="H41" s="42"/>
      <c r="I41" s="42"/>
      <c r="J41" s="42"/>
      <c r="K41" s="42"/>
      <c r="L41" s="42"/>
      <c r="M41" s="121">
        <v>3621113.32</v>
      </c>
      <c r="N41" s="42"/>
      <c r="O41" s="42"/>
      <c r="P41" s="42"/>
      <c r="Q41" s="121">
        <v>17782590.01</v>
      </c>
      <c r="R41" s="42"/>
      <c r="S41" s="42"/>
      <c r="T41" s="42"/>
      <c r="U41" s="42"/>
      <c r="V41" s="42"/>
      <c r="W41" s="42"/>
      <c r="X41" s="42"/>
      <c r="Y41" s="42"/>
      <c r="Z41" s="42"/>
      <c r="AA41" s="42"/>
      <c r="AB41" s="118"/>
      <c r="AC41" s="119"/>
      <c r="AD41" s="119"/>
      <c r="AE41" s="117"/>
    </row>
    <row r="42" spans="2:31" ht="15" customHeight="1">
      <c r="B42" s="2" t="s">
        <v>309</v>
      </c>
      <c r="C42" s="13" t="s">
        <v>310</v>
      </c>
      <c r="D42" s="121">
        <v>19500</v>
      </c>
      <c r="E42" s="121">
        <v>19500</v>
      </c>
      <c r="F42" s="121">
        <v>9500</v>
      </c>
      <c r="G42" s="42"/>
      <c r="H42" s="42"/>
      <c r="I42" s="42"/>
      <c r="J42" s="42"/>
      <c r="K42" s="42"/>
      <c r="L42" s="42"/>
      <c r="M42" s="42"/>
      <c r="N42" s="42"/>
      <c r="O42" s="42"/>
      <c r="P42" s="42"/>
      <c r="Q42" s="42"/>
      <c r="R42" s="42"/>
      <c r="S42" s="42"/>
      <c r="T42" s="42"/>
      <c r="U42" s="42"/>
      <c r="V42" s="42"/>
      <c r="W42" s="42"/>
      <c r="X42" s="42"/>
      <c r="Y42" s="42"/>
      <c r="Z42" s="42"/>
      <c r="AA42" s="42"/>
      <c r="AB42" s="118"/>
      <c r="AC42" s="119"/>
      <c r="AD42" s="119"/>
      <c r="AE42" s="117"/>
    </row>
    <row r="43" spans="2:31" ht="15" customHeight="1">
      <c r="B43" s="2" t="s">
        <v>311</v>
      </c>
      <c r="C43" s="13" t="s">
        <v>312</v>
      </c>
      <c r="D43" s="121">
        <v>0</v>
      </c>
      <c r="E43" s="121">
        <v>0</v>
      </c>
      <c r="F43" s="121">
        <v>0</v>
      </c>
      <c r="G43" s="42"/>
      <c r="H43" s="42"/>
      <c r="I43" s="42"/>
      <c r="J43" s="42"/>
      <c r="K43" s="42"/>
      <c r="L43" s="42"/>
      <c r="M43" s="42"/>
      <c r="N43" s="42"/>
      <c r="O43" s="42"/>
      <c r="P43" s="42"/>
      <c r="Q43" s="42"/>
      <c r="R43" s="42"/>
      <c r="S43" s="42"/>
      <c r="T43" s="42"/>
      <c r="U43" s="42"/>
      <c r="V43" s="42"/>
      <c r="W43" s="42"/>
      <c r="X43" s="42"/>
      <c r="Y43" s="42"/>
      <c r="Z43" s="42"/>
      <c r="AA43" s="42"/>
      <c r="AB43" s="118"/>
      <c r="AC43" s="119"/>
      <c r="AD43" s="119"/>
      <c r="AE43" s="117"/>
    </row>
    <row r="44" spans="2:31" ht="28.5" customHeight="1">
      <c r="B44" s="2" t="s">
        <v>313</v>
      </c>
      <c r="C44" s="13" t="s">
        <v>314</v>
      </c>
      <c r="D44" s="121">
        <v>7010426.91</v>
      </c>
      <c r="E44" s="121">
        <v>7004426.91</v>
      </c>
      <c r="F44" s="121">
        <v>6891148.03</v>
      </c>
      <c r="G44" s="44"/>
      <c r="H44" s="42"/>
      <c r="I44" s="42"/>
      <c r="J44" s="42"/>
      <c r="K44" s="42"/>
      <c r="L44" s="42"/>
      <c r="M44" s="41"/>
      <c r="N44" s="42"/>
      <c r="O44" s="42"/>
      <c r="P44" s="42"/>
      <c r="Q44" s="42"/>
      <c r="R44" s="42"/>
      <c r="S44" s="42"/>
      <c r="T44" s="42"/>
      <c r="U44" s="42"/>
      <c r="V44" s="42"/>
      <c r="W44" s="42"/>
      <c r="X44" s="42"/>
      <c r="Y44" s="42"/>
      <c r="Z44" s="42"/>
      <c r="AA44" s="42"/>
      <c r="AB44" s="118"/>
      <c r="AC44" s="119"/>
      <c r="AD44" s="119"/>
      <c r="AE44" s="117"/>
    </row>
    <row r="45" spans="2:31" ht="28.5" customHeight="1">
      <c r="B45" s="2" t="s">
        <v>315</v>
      </c>
      <c r="C45" s="13" t="s">
        <v>316</v>
      </c>
      <c r="D45" s="121">
        <v>0</v>
      </c>
      <c r="E45" s="121">
        <v>0</v>
      </c>
      <c r="F45" s="121">
        <v>0</v>
      </c>
      <c r="G45" s="42"/>
      <c r="H45" s="42"/>
      <c r="I45" s="42"/>
      <c r="J45" s="42"/>
      <c r="K45" s="42"/>
      <c r="L45" s="42"/>
      <c r="M45" s="42"/>
      <c r="N45" s="42"/>
      <c r="O45" s="42"/>
      <c r="P45" s="42"/>
      <c r="Q45" s="42"/>
      <c r="R45" s="42"/>
      <c r="S45" s="42"/>
      <c r="T45" s="42"/>
      <c r="U45" s="42"/>
      <c r="V45" s="42"/>
      <c r="W45" s="42"/>
      <c r="X45" s="42"/>
      <c r="Y45" s="42"/>
      <c r="Z45" s="42"/>
      <c r="AA45" s="42"/>
      <c r="AB45" s="118"/>
      <c r="AC45" s="119"/>
      <c r="AD45" s="119"/>
      <c r="AE45" s="117"/>
    </row>
    <row r="46" spans="2:31" ht="28.5" customHeight="1">
      <c r="B46" s="2" t="s">
        <v>317</v>
      </c>
      <c r="C46" s="13" t="s">
        <v>318</v>
      </c>
      <c r="D46" s="121">
        <v>0</v>
      </c>
      <c r="E46" s="121">
        <v>0</v>
      </c>
      <c r="F46" s="121">
        <v>0</v>
      </c>
      <c r="G46" s="42"/>
      <c r="H46" s="42"/>
      <c r="I46" s="42"/>
      <c r="J46" s="42"/>
      <c r="K46" s="42"/>
      <c r="L46" s="42"/>
      <c r="M46" s="42"/>
      <c r="N46" s="42"/>
      <c r="O46" s="42"/>
      <c r="P46" s="42"/>
      <c r="Q46" s="42"/>
      <c r="R46" s="42"/>
      <c r="S46" s="42"/>
      <c r="T46" s="42"/>
      <c r="U46" s="42"/>
      <c r="V46" s="42"/>
      <c r="W46" s="42"/>
      <c r="X46" s="42"/>
      <c r="Y46" s="42"/>
      <c r="Z46" s="42"/>
      <c r="AA46" s="42"/>
      <c r="AB46" s="118"/>
      <c r="AC46" s="119"/>
      <c r="AD46" s="119"/>
      <c r="AE46" s="117"/>
    </row>
    <row r="47" spans="2:31" ht="28.5" customHeight="1">
      <c r="B47" s="2" t="s">
        <v>319</v>
      </c>
      <c r="C47" s="13" t="s">
        <v>320</v>
      </c>
      <c r="D47" s="121">
        <v>271003.38</v>
      </c>
      <c r="E47" s="121">
        <v>264003.38</v>
      </c>
      <c r="F47" s="121">
        <v>234003.38</v>
      </c>
      <c r="G47" s="42"/>
      <c r="H47" s="42"/>
      <c r="I47" s="42"/>
      <c r="J47" s="42"/>
      <c r="K47" s="42"/>
      <c r="L47" s="42"/>
      <c r="M47" s="121">
        <v>22290.85</v>
      </c>
      <c r="N47" s="44"/>
      <c r="O47" s="42"/>
      <c r="P47" s="42"/>
      <c r="Q47" s="121">
        <v>293294.23</v>
      </c>
      <c r="R47" s="42"/>
      <c r="S47" s="42"/>
      <c r="T47" s="42"/>
      <c r="U47" s="42"/>
      <c r="V47" s="42"/>
      <c r="W47" s="42"/>
      <c r="X47" s="42"/>
      <c r="Y47" s="42"/>
      <c r="Z47" s="42"/>
      <c r="AA47" s="42"/>
      <c r="AB47" s="118"/>
      <c r="AC47" s="119"/>
      <c r="AD47" s="119"/>
      <c r="AE47" s="117"/>
    </row>
    <row r="48" spans="2:31" ht="28.5" customHeight="1">
      <c r="B48" s="2" t="s">
        <v>321</v>
      </c>
      <c r="C48" s="13" t="s">
        <v>322</v>
      </c>
      <c r="D48" s="121">
        <v>0</v>
      </c>
      <c r="E48" s="121">
        <v>0</v>
      </c>
      <c r="F48" s="121">
        <v>0</v>
      </c>
      <c r="G48" s="42"/>
      <c r="H48" s="42"/>
      <c r="I48" s="42"/>
      <c r="J48" s="42"/>
      <c r="K48" s="42"/>
      <c r="L48" s="42"/>
      <c r="M48" s="121">
        <v>0</v>
      </c>
      <c r="N48" s="42"/>
      <c r="O48" s="42"/>
      <c r="P48" s="42"/>
      <c r="Q48" s="121">
        <v>0</v>
      </c>
      <c r="R48" s="42"/>
      <c r="S48" s="42"/>
      <c r="T48" s="42"/>
      <c r="U48" s="42"/>
      <c r="V48" s="42"/>
      <c r="W48" s="42"/>
      <c r="X48" s="42"/>
      <c r="Y48" s="42"/>
      <c r="Z48" s="42"/>
      <c r="AA48" s="42"/>
      <c r="AB48" s="118"/>
      <c r="AC48" s="119"/>
      <c r="AD48" s="119"/>
      <c r="AE48" s="117"/>
    </row>
    <row r="49" spans="2:31" ht="28.5" customHeight="1">
      <c r="B49" s="2" t="s">
        <v>323</v>
      </c>
      <c r="C49" s="13" t="s">
        <v>324</v>
      </c>
      <c r="D49" s="121">
        <v>0</v>
      </c>
      <c r="E49" s="121">
        <v>0</v>
      </c>
      <c r="F49" s="121">
        <v>0</v>
      </c>
      <c r="G49" s="42"/>
      <c r="H49" s="42"/>
      <c r="I49" s="42"/>
      <c r="J49" s="42"/>
      <c r="K49" s="42"/>
      <c r="L49" s="42"/>
      <c r="M49" s="121">
        <v>0</v>
      </c>
      <c r="N49" s="42"/>
      <c r="O49" s="42"/>
      <c r="P49" s="42"/>
      <c r="Q49" s="121">
        <v>0</v>
      </c>
      <c r="R49" s="42"/>
      <c r="S49" s="42"/>
      <c r="T49" s="42"/>
      <c r="U49" s="42"/>
      <c r="V49" s="42"/>
      <c r="W49" s="42"/>
      <c r="X49" s="42"/>
      <c r="Y49" s="42"/>
      <c r="Z49" s="42"/>
      <c r="AA49" s="42"/>
      <c r="AB49" s="118"/>
      <c r="AC49" s="119"/>
      <c r="AD49" s="119"/>
      <c r="AE49" s="117"/>
    </row>
    <row r="50" spans="2:31" ht="15" customHeight="1">
      <c r="B50" s="2" t="s">
        <v>325</v>
      </c>
      <c r="C50" s="13" t="s">
        <v>326</v>
      </c>
      <c r="D50" s="121">
        <v>333183.25</v>
      </c>
      <c r="E50" s="121">
        <v>312423.67</v>
      </c>
      <c r="F50" s="121">
        <v>290624.07</v>
      </c>
      <c r="G50" s="42"/>
      <c r="H50" s="42"/>
      <c r="I50" s="42"/>
      <c r="J50" s="42"/>
      <c r="K50" s="42"/>
      <c r="L50" s="42"/>
      <c r="M50" s="42"/>
      <c r="N50" s="42"/>
      <c r="O50" s="42"/>
      <c r="P50" s="42"/>
      <c r="Q50" s="42"/>
      <c r="R50" s="42"/>
      <c r="S50" s="42"/>
      <c r="T50" s="42"/>
      <c r="U50" s="42"/>
      <c r="V50" s="42"/>
      <c r="W50" s="42"/>
      <c r="X50" s="42"/>
      <c r="Y50" s="42"/>
      <c r="Z50" s="42"/>
      <c r="AA50" s="42"/>
      <c r="AB50" s="118"/>
      <c r="AC50" s="119"/>
      <c r="AD50" s="119"/>
      <c r="AE50" s="117"/>
    </row>
    <row r="51" spans="2:31" ht="15" customHeight="1">
      <c r="B51" s="2" t="s">
        <v>327</v>
      </c>
      <c r="C51" s="13" t="s">
        <v>328</v>
      </c>
      <c r="D51" s="121">
        <v>0</v>
      </c>
      <c r="E51" s="121">
        <v>0</v>
      </c>
      <c r="F51" s="121">
        <v>0</v>
      </c>
      <c r="G51" s="42"/>
      <c r="H51" s="42"/>
      <c r="I51" s="42"/>
      <c r="J51" s="42"/>
      <c r="K51" s="42"/>
      <c r="L51" s="42"/>
      <c r="M51" s="42"/>
      <c r="N51" s="42"/>
      <c r="O51" s="42"/>
      <c r="P51" s="42"/>
      <c r="Q51" s="42"/>
      <c r="R51" s="42"/>
      <c r="S51" s="42"/>
      <c r="T51" s="42"/>
      <c r="U51" s="42"/>
      <c r="V51" s="42"/>
      <c r="W51" s="42"/>
      <c r="X51" s="42"/>
      <c r="Y51" s="42"/>
      <c r="Z51" s="42"/>
      <c r="AA51" s="42"/>
      <c r="AB51" s="118"/>
      <c r="AC51" s="119"/>
      <c r="AD51" s="119"/>
      <c r="AE51" s="117"/>
    </row>
    <row r="52" spans="2:31" ht="15" customHeight="1">
      <c r="B52" s="2" t="s">
        <v>329</v>
      </c>
      <c r="C52" s="13" t="s">
        <v>330</v>
      </c>
      <c r="D52" s="121">
        <v>100</v>
      </c>
      <c r="E52" s="121">
        <v>100</v>
      </c>
      <c r="F52" s="121">
        <v>100</v>
      </c>
      <c r="G52" s="42"/>
      <c r="H52" s="42"/>
      <c r="I52" s="42"/>
      <c r="J52" s="42"/>
      <c r="K52" s="42"/>
      <c r="L52" s="42"/>
      <c r="M52" s="42"/>
      <c r="N52" s="42"/>
      <c r="O52" s="42"/>
      <c r="P52" s="42"/>
      <c r="Q52" s="42"/>
      <c r="R52" s="42"/>
      <c r="S52" s="42"/>
      <c r="T52" s="42"/>
      <c r="U52" s="42"/>
      <c r="V52" s="42"/>
      <c r="W52" s="42"/>
      <c r="X52" s="42"/>
      <c r="Y52" s="42"/>
      <c r="Z52" s="42"/>
      <c r="AA52" s="42"/>
      <c r="AB52" s="118"/>
      <c r="AC52" s="119"/>
      <c r="AD52" s="119"/>
      <c r="AE52" s="117"/>
    </row>
    <row r="53" spans="1:30" ht="28.5" customHeight="1">
      <c r="A53" s="2" t="s">
        <v>331</v>
      </c>
      <c r="B53" s="2" t="s">
        <v>332</v>
      </c>
      <c r="C53" s="13" t="s">
        <v>333</v>
      </c>
      <c r="D53" s="121">
        <v>3463916.65</v>
      </c>
      <c r="E53" s="121">
        <v>3013373.69</v>
      </c>
      <c r="F53" s="121">
        <v>3367888.25</v>
      </c>
      <c r="G53" s="42"/>
      <c r="H53" s="42"/>
      <c r="I53" s="42"/>
      <c r="J53" s="42"/>
      <c r="K53" s="42"/>
      <c r="L53" s="42"/>
      <c r="M53" s="42"/>
      <c r="N53" s="42"/>
      <c r="O53" s="42"/>
      <c r="P53" s="42"/>
      <c r="Q53" s="42"/>
      <c r="R53" s="42"/>
      <c r="S53" s="42"/>
      <c r="T53" s="42"/>
      <c r="U53" s="42"/>
      <c r="V53" s="42"/>
      <c r="W53" s="42"/>
      <c r="X53" s="42"/>
      <c r="Y53" s="42"/>
      <c r="Z53" s="42"/>
      <c r="AA53" s="42"/>
      <c r="AB53" s="118"/>
      <c r="AC53" s="118"/>
      <c r="AD53" s="118"/>
    </row>
    <row r="54" spans="2:30" ht="14.25" customHeight="1">
      <c r="B54" s="2" t="s">
        <v>334</v>
      </c>
      <c r="C54" s="13" t="s">
        <v>335</v>
      </c>
      <c r="D54" s="121">
        <v>31275963.96</v>
      </c>
      <c r="E54" s="121">
        <v>29073616.28</v>
      </c>
      <c r="F54" s="121">
        <v>14406442.7</v>
      </c>
      <c r="G54" s="42"/>
      <c r="H54" s="42"/>
      <c r="I54" s="42"/>
      <c r="J54" s="42"/>
      <c r="K54" s="42"/>
      <c r="L54" s="42"/>
      <c r="M54" s="42"/>
      <c r="N54" s="42"/>
      <c r="O54" s="42"/>
      <c r="P54" s="42"/>
      <c r="Q54" s="42"/>
      <c r="R54" s="42"/>
      <c r="S54" s="42"/>
      <c r="T54" s="42"/>
      <c r="U54" s="42"/>
      <c r="V54" s="42"/>
      <c r="W54" s="42"/>
      <c r="X54" s="42"/>
      <c r="Y54" s="42"/>
      <c r="Z54" s="42"/>
      <c r="AA54" s="42"/>
      <c r="AB54" s="118"/>
      <c r="AC54" s="118"/>
      <c r="AD54" s="118"/>
    </row>
    <row r="55" spans="2:30" ht="28.5" customHeight="1">
      <c r="B55" s="2" t="s">
        <v>336</v>
      </c>
      <c r="C55" s="13" t="s">
        <v>337</v>
      </c>
      <c r="D55" s="121">
        <v>31275963.96</v>
      </c>
      <c r="E55" s="121">
        <v>29073616.28</v>
      </c>
      <c r="F55" s="121">
        <v>14406442.7</v>
      </c>
      <c r="G55" s="42"/>
      <c r="H55" s="42"/>
      <c r="I55" s="42"/>
      <c r="J55" s="42"/>
      <c r="K55" s="42"/>
      <c r="L55" s="42"/>
      <c r="M55" s="42"/>
      <c r="N55" s="42"/>
      <c r="O55" s="42"/>
      <c r="P55" s="42"/>
      <c r="Q55" s="42"/>
      <c r="R55" s="42"/>
      <c r="S55" s="42"/>
      <c r="T55" s="42"/>
      <c r="U55" s="42"/>
      <c r="V55" s="42"/>
      <c r="W55" s="42"/>
      <c r="X55" s="42"/>
      <c r="Y55" s="42"/>
      <c r="Z55" s="42"/>
      <c r="AA55" s="42"/>
      <c r="AB55" s="118"/>
      <c r="AC55" s="118"/>
      <c r="AD55" s="118"/>
    </row>
    <row r="56" spans="2:30" ht="28.5" customHeight="1">
      <c r="B56" s="2" t="s">
        <v>338</v>
      </c>
      <c r="C56" s="13" t="s">
        <v>339</v>
      </c>
      <c r="D56" s="121">
        <v>31265963.96</v>
      </c>
      <c r="E56" s="121">
        <v>29063616.28</v>
      </c>
      <c r="F56" s="121">
        <v>14396442.7</v>
      </c>
      <c r="G56" s="42"/>
      <c r="H56" s="42"/>
      <c r="I56" s="42"/>
      <c r="J56" s="42"/>
      <c r="K56" s="42"/>
      <c r="L56" s="42"/>
      <c r="M56" s="121">
        <v>1781901.99</v>
      </c>
      <c r="N56" s="42"/>
      <c r="O56" s="42"/>
      <c r="P56" s="42"/>
      <c r="Q56" s="121">
        <v>33047865.95</v>
      </c>
      <c r="R56" s="42"/>
      <c r="S56" s="42"/>
      <c r="T56" s="42"/>
      <c r="U56" s="42"/>
      <c r="V56" s="42"/>
      <c r="W56" s="42"/>
      <c r="X56" s="42"/>
      <c r="Y56" s="42"/>
      <c r="Z56" s="42"/>
      <c r="AA56" s="42"/>
      <c r="AB56" s="122">
        <v>2579087.94</v>
      </c>
      <c r="AC56" s="122">
        <v>0</v>
      </c>
      <c r="AD56" s="122">
        <v>0</v>
      </c>
    </row>
    <row r="57" spans="2:30" ht="14.25" customHeight="1">
      <c r="B57" s="2" t="s">
        <v>340</v>
      </c>
      <c r="C57" s="13" t="s">
        <v>341</v>
      </c>
      <c r="D57" s="121">
        <v>31265963.96</v>
      </c>
      <c r="E57" s="121">
        <v>29063616.28</v>
      </c>
      <c r="F57" s="121">
        <v>14396442.7</v>
      </c>
      <c r="G57" s="42"/>
      <c r="H57" s="42"/>
      <c r="I57" s="42"/>
      <c r="J57" s="42"/>
      <c r="K57" s="42"/>
      <c r="L57" s="42"/>
      <c r="M57" s="121">
        <v>1781901.99</v>
      </c>
      <c r="N57" s="42"/>
      <c r="O57" s="42"/>
      <c r="P57" s="42"/>
      <c r="Q57" s="121">
        <v>33047865.95</v>
      </c>
      <c r="R57" s="42"/>
      <c r="S57" s="42"/>
      <c r="T57" s="42"/>
      <c r="U57" s="42"/>
      <c r="V57" s="42"/>
      <c r="W57" s="42"/>
      <c r="X57" s="42"/>
      <c r="Y57" s="42"/>
      <c r="Z57" s="42"/>
      <c r="AA57" s="42"/>
      <c r="AB57" s="118"/>
      <c r="AC57" s="118"/>
      <c r="AD57" s="118"/>
    </row>
    <row r="58" spans="2:30" ht="28.5" customHeight="1">
      <c r="B58" s="2" t="s">
        <v>342</v>
      </c>
      <c r="C58" s="13" t="s">
        <v>343</v>
      </c>
      <c r="D58" s="121">
        <v>0</v>
      </c>
      <c r="E58" s="121">
        <v>0</v>
      </c>
      <c r="F58" s="121">
        <v>0</v>
      </c>
      <c r="G58" s="42"/>
      <c r="H58" s="42"/>
      <c r="I58" s="42"/>
      <c r="J58" s="42"/>
      <c r="K58" s="42"/>
      <c r="L58" s="42"/>
      <c r="M58" s="42"/>
      <c r="N58" s="42"/>
      <c r="O58" s="42"/>
      <c r="P58" s="42"/>
      <c r="Q58" s="42"/>
      <c r="R58" s="42"/>
      <c r="S58" s="42"/>
      <c r="T58" s="42"/>
      <c r="U58" s="42"/>
      <c r="V58" s="42"/>
      <c r="W58" s="42"/>
      <c r="X58" s="42"/>
      <c r="Y58" s="42"/>
      <c r="Z58" s="42"/>
      <c r="AA58" s="42"/>
      <c r="AB58" s="122">
        <v>0</v>
      </c>
      <c r="AC58" s="122">
        <v>0</v>
      </c>
      <c r="AD58" s="122">
        <v>0</v>
      </c>
    </row>
    <row r="59" spans="2:30" ht="14.25" customHeight="1">
      <c r="B59" s="2" t="s">
        <v>344</v>
      </c>
      <c r="C59" s="13" t="s">
        <v>345</v>
      </c>
      <c r="D59" s="121">
        <v>0</v>
      </c>
      <c r="E59" s="121">
        <v>0</v>
      </c>
      <c r="F59" s="121">
        <v>0</v>
      </c>
      <c r="G59" s="42"/>
      <c r="H59" s="42"/>
      <c r="I59" s="42"/>
      <c r="J59" s="42"/>
      <c r="K59" s="42"/>
      <c r="L59" s="42"/>
      <c r="M59" s="42"/>
      <c r="N59" s="42"/>
      <c r="O59" s="42"/>
      <c r="P59" s="42"/>
      <c r="Q59" s="42"/>
      <c r="R59" s="42"/>
      <c r="S59" s="42"/>
      <c r="T59" s="42"/>
      <c r="U59" s="42"/>
      <c r="V59" s="42"/>
      <c r="W59" s="42"/>
      <c r="X59" s="42"/>
      <c r="Y59" s="42"/>
      <c r="Z59" s="42"/>
      <c r="AA59" s="42"/>
      <c r="AB59" s="118"/>
      <c r="AC59" s="118"/>
      <c r="AD59" s="118"/>
    </row>
    <row r="60" spans="2:30" ht="14.25" customHeight="1">
      <c r="B60" s="2" t="s">
        <v>346</v>
      </c>
      <c r="C60" s="13" t="s">
        <v>347</v>
      </c>
      <c r="D60" s="121">
        <v>0</v>
      </c>
      <c r="E60" s="121">
        <v>0</v>
      </c>
      <c r="F60" s="121">
        <v>0</v>
      </c>
      <c r="G60" s="42"/>
      <c r="H60" s="42"/>
      <c r="I60" s="42"/>
      <c r="J60" s="42"/>
      <c r="K60" s="42"/>
      <c r="L60" s="42"/>
      <c r="M60" s="121">
        <v>0</v>
      </c>
      <c r="N60" s="42"/>
      <c r="O60" s="42"/>
      <c r="P60" s="42"/>
      <c r="Q60" s="121">
        <v>0</v>
      </c>
      <c r="R60" s="42"/>
      <c r="S60" s="42"/>
      <c r="T60" s="42"/>
      <c r="U60" s="42"/>
      <c r="V60" s="42"/>
      <c r="W60" s="42"/>
      <c r="X60" s="42"/>
      <c r="Y60" s="42"/>
      <c r="Z60" s="42"/>
      <c r="AA60" s="42"/>
      <c r="AB60" s="118"/>
      <c r="AC60" s="118"/>
      <c r="AD60" s="118"/>
    </row>
    <row r="61" spans="2:30" ht="24" customHeight="1">
      <c r="B61" s="2" t="s">
        <v>348</v>
      </c>
      <c r="C61" s="13" t="s">
        <v>349</v>
      </c>
      <c r="D61" s="121">
        <v>0</v>
      </c>
      <c r="E61" s="121">
        <v>0</v>
      </c>
      <c r="F61" s="121">
        <v>0</v>
      </c>
      <c r="G61" s="42"/>
      <c r="H61" s="42"/>
      <c r="I61" s="42"/>
      <c r="J61" s="42"/>
      <c r="K61" s="42"/>
      <c r="L61" s="42"/>
      <c r="M61" s="121">
        <v>0</v>
      </c>
      <c r="N61" s="42"/>
      <c r="O61" s="42"/>
      <c r="P61" s="42"/>
      <c r="Q61" s="121">
        <v>0</v>
      </c>
      <c r="R61" s="42"/>
      <c r="S61" s="42"/>
      <c r="T61" s="42"/>
      <c r="U61" s="42"/>
      <c r="V61" s="42"/>
      <c r="W61" s="42"/>
      <c r="X61" s="42"/>
      <c r="Y61" s="42"/>
      <c r="Z61" s="42"/>
      <c r="AA61" s="42"/>
      <c r="AB61" s="118"/>
      <c r="AC61" s="118"/>
      <c r="AD61" s="118"/>
    </row>
    <row r="62" spans="2:30" ht="24" customHeight="1">
      <c r="B62" s="2" t="s">
        <v>350</v>
      </c>
      <c r="C62" s="13" t="s">
        <v>351</v>
      </c>
      <c r="D62" s="121">
        <v>0</v>
      </c>
      <c r="E62" s="121">
        <v>0</v>
      </c>
      <c r="F62" s="121">
        <v>0</v>
      </c>
      <c r="G62" s="42"/>
      <c r="H62" s="42"/>
      <c r="I62" s="42"/>
      <c r="J62" s="42"/>
      <c r="K62" s="42"/>
      <c r="L62" s="42"/>
      <c r="M62" s="121">
        <v>0</v>
      </c>
      <c r="N62" s="42"/>
      <c r="O62" s="42"/>
      <c r="P62" s="42"/>
      <c r="Q62" s="121">
        <v>0</v>
      </c>
      <c r="R62" s="42"/>
      <c r="S62" s="42"/>
      <c r="T62" s="42"/>
      <c r="U62" s="42"/>
      <c r="V62" s="42"/>
      <c r="W62" s="42"/>
      <c r="X62" s="42"/>
      <c r="Y62" s="42"/>
      <c r="Z62" s="42"/>
      <c r="AA62" s="42"/>
      <c r="AB62" s="118"/>
      <c r="AC62" s="118"/>
      <c r="AD62" s="118"/>
    </row>
    <row r="63" spans="2:30" ht="24" customHeight="1">
      <c r="B63" s="2" t="s">
        <v>352</v>
      </c>
      <c r="C63" s="13" t="s">
        <v>353</v>
      </c>
      <c r="D63" s="121">
        <v>0</v>
      </c>
      <c r="E63" s="121">
        <v>0</v>
      </c>
      <c r="F63" s="121">
        <v>0</v>
      </c>
      <c r="G63" s="42"/>
      <c r="H63" s="42"/>
      <c r="I63" s="42"/>
      <c r="J63" s="42"/>
      <c r="K63" s="42"/>
      <c r="L63" s="42"/>
      <c r="M63" s="121">
        <v>0</v>
      </c>
      <c r="N63" s="42"/>
      <c r="O63" s="42"/>
      <c r="P63" s="42"/>
      <c r="Q63" s="121">
        <v>0</v>
      </c>
      <c r="R63" s="42"/>
      <c r="S63" s="42"/>
      <c r="T63" s="42"/>
      <c r="U63" s="42"/>
      <c r="V63" s="42"/>
      <c r="W63" s="42"/>
      <c r="X63" s="42"/>
      <c r="Y63" s="42"/>
      <c r="Z63" s="42"/>
      <c r="AA63" s="42"/>
      <c r="AB63" s="118"/>
      <c r="AC63" s="118"/>
      <c r="AD63" s="118"/>
    </row>
    <row r="64" spans="2:30" ht="24" customHeight="1">
      <c r="B64" s="2" t="s">
        <v>354</v>
      </c>
      <c r="C64" s="13" t="s">
        <v>355</v>
      </c>
      <c r="D64" s="121">
        <v>0</v>
      </c>
      <c r="E64" s="121">
        <v>0</v>
      </c>
      <c r="F64" s="121">
        <v>0</v>
      </c>
      <c r="G64" s="42"/>
      <c r="H64" s="42"/>
      <c r="I64" s="42"/>
      <c r="J64" s="42"/>
      <c r="K64" s="42"/>
      <c r="L64" s="42"/>
      <c r="M64" s="121">
        <v>0</v>
      </c>
      <c r="N64" s="42"/>
      <c r="O64" s="42"/>
      <c r="P64" s="42"/>
      <c r="Q64" s="121">
        <v>0</v>
      </c>
      <c r="R64" s="42"/>
      <c r="S64" s="42"/>
      <c r="T64" s="42"/>
      <c r="U64" s="42"/>
      <c r="V64" s="42"/>
      <c r="W64" s="42"/>
      <c r="X64" s="42"/>
      <c r="Y64" s="42"/>
      <c r="Z64" s="42"/>
      <c r="AA64" s="42"/>
      <c r="AB64" s="118"/>
      <c r="AC64" s="118"/>
      <c r="AD64" s="118"/>
    </row>
    <row r="65" spans="2:30" ht="14.25" customHeight="1">
      <c r="B65" s="2" t="s">
        <v>356</v>
      </c>
      <c r="C65" s="13" t="s">
        <v>357</v>
      </c>
      <c r="D65" s="121">
        <v>0</v>
      </c>
      <c r="E65" s="121">
        <v>0</v>
      </c>
      <c r="F65" s="121">
        <v>0</v>
      </c>
      <c r="G65" s="42"/>
      <c r="H65" s="42"/>
      <c r="I65" s="42"/>
      <c r="J65" s="42"/>
      <c r="K65" s="42"/>
      <c r="L65" s="42"/>
      <c r="M65" s="42"/>
      <c r="N65" s="42"/>
      <c r="O65" s="42"/>
      <c r="P65" s="42"/>
      <c r="Q65" s="42"/>
      <c r="R65" s="42"/>
      <c r="S65" s="42"/>
      <c r="T65" s="42"/>
      <c r="U65" s="42"/>
      <c r="V65" s="42"/>
      <c r="W65" s="42"/>
      <c r="X65" s="42"/>
      <c r="Y65" s="42"/>
      <c r="Z65" s="42"/>
      <c r="AA65" s="42"/>
      <c r="AB65" s="118"/>
      <c r="AC65" s="118"/>
      <c r="AD65" s="118"/>
    </row>
    <row r="66" spans="2:30" ht="14.25" customHeight="1">
      <c r="B66" s="2" t="s">
        <v>358</v>
      </c>
      <c r="C66" s="13" t="s">
        <v>359</v>
      </c>
      <c r="D66" s="121">
        <v>418998.07</v>
      </c>
      <c r="E66" s="121">
        <v>439757.65</v>
      </c>
      <c r="F66" s="121">
        <v>461557.25</v>
      </c>
      <c r="G66" s="42"/>
      <c r="H66" s="42"/>
      <c r="I66" s="42"/>
      <c r="J66" s="42"/>
      <c r="K66" s="42"/>
      <c r="L66" s="42"/>
      <c r="M66" s="42"/>
      <c r="N66" s="42"/>
      <c r="O66" s="42"/>
      <c r="P66" s="42"/>
      <c r="Q66" s="42"/>
      <c r="R66" s="42"/>
      <c r="S66" s="42"/>
      <c r="T66" s="42"/>
      <c r="U66" s="42"/>
      <c r="V66" s="122">
        <v>432615.4</v>
      </c>
      <c r="W66" s="122">
        <v>385659.08</v>
      </c>
      <c r="X66" s="122">
        <v>404834.14</v>
      </c>
      <c r="Y66" s="122">
        <v>432615.4</v>
      </c>
      <c r="Z66" s="122">
        <v>385659.08</v>
      </c>
      <c r="AA66" s="122">
        <v>404834.14</v>
      </c>
      <c r="AB66" s="118"/>
      <c r="AC66" s="118"/>
      <c r="AD66" s="118"/>
    </row>
    <row r="67" spans="2:30" ht="14.25" customHeight="1">
      <c r="B67" s="2" t="s">
        <v>360</v>
      </c>
      <c r="C67" s="13" t="s">
        <v>271</v>
      </c>
      <c r="D67" s="121">
        <v>6503000</v>
      </c>
      <c r="E67" s="121">
        <v>6503000</v>
      </c>
      <c r="F67" s="121">
        <v>6503000</v>
      </c>
      <c r="G67" s="42"/>
      <c r="H67" s="42"/>
      <c r="I67" s="42"/>
      <c r="J67" s="42"/>
      <c r="K67" s="42"/>
      <c r="L67" s="42"/>
      <c r="M67" s="42"/>
      <c r="N67" s="42"/>
      <c r="O67" s="42"/>
      <c r="P67" s="42"/>
      <c r="Q67" s="42"/>
      <c r="R67" s="42"/>
      <c r="S67" s="42"/>
      <c r="T67" s="42"/>
      <c r="U67" s="42"/>
      <c r="V67" s="42"/>
      <c r="W67" s="42"/>
      <c r="X67" s="42"/>
      <c r="Y67" s="42"/>
      <c r="Z67" s="42"/>
      <c r="AA67" s="42"/>
      <c r="AB67" s="118"/>
      <c r="AC67" s="118"/>
      <c r="AD67" s="118"/>
    </row>
    <row r="68" spans="2:30" ht="14.25" customHeight="1">
      <c r="B68" s="2" t="s">
        <v>361</v>
      </c>
      <c r="C68" s="13" t="s">
        <v>362</v>
      </c>
      <c r="D68" s="121">
        <v>0</v>
      </c>
      <c r="E68" s="121">
        <v>0</v>
      </c>
      <c r="F68" s="121">
        <v>0</v>
      </c>
      <c r="G68" s="42"/>
      <c r="H68" s="42"/>
      <c r="I68" s="42"/>
      <c r="J68" s="42"/>
      <c r="K68" s="42"/>
      <c r="L68" s="42"/>
      <c r="M68" s="42"/>
      <c r="N68" s="42"/>
      <c r="O68" s="42"/>
      <c r="P68" s="42"/>
      <c r="Q68" s="42"/>
      <c r="R68" s="42"/>
      <c r="S68" s="42"/>
      <c r="T68" s="42"/>
      <c r="U68" s="42"/>
      <c r="V68" s="42"/>
      <c r="W68" s="42"/>
      <c r="X68" s="42"/>
      <c r="Y68" s="42"/>
      <c r="Z68" s="42"/>
      <c r="AA68" s="42"/>
      <c r="AB68" s="118"/>
      <c r="AC68" s="118"/>
      <c r="AD68" s="118"/>
    </row>
    <row r="69" spans="2:30" ht="14.25" customHeight="1">
      <c r="B69" s="2" t="s">
        <v>363</v>
      </c>
      <c r="C69" s="14" t="s">
        <v>364</v>
      </c>
      <c r="D69" s="41"/>
      <c r="E69" s="42"/>
      <c r="F69" s="42"/>
      <c r="G69" s="42"/>
      <c r="H69" s="42"/>
      <c r="I69" s="42"/>
      <c r="J69" s="42"/>
      <c r="K69" s="42"/>
      <c r="L69" s="42"/>
      <c r="M69" s="42"/>
      <c r="N69" s="42"/>
      <c r="O69" s="42"/>
      <c r="P69" s="42"/>
      <c r="Q69" s="42"/>
      <c r="R69" s="121">
        <v>7015619.61</v>
      </c>
      <c r="S69" s="122">
        <v>6815658.63</v>
      </c>
      <c r="T69" s="122">
        <v>6403818.33</v>
      </c>
      <c r="U69" s="42"/>
      <c r="V69" s="42"/>
      <c r="W69" s="42"/>
      <c r="X69" s="42"/>
      <c r="Y69" s="42"/>
      <c r="Z69" s="42"/>
      <c r="AA69" s="42"/>
      <c r="AB69" s="118"/>
      <c r="AC69" s="118"/>
      <c r="AD69" s="118"/>
    </row>
    <row r="70" spans="2:30" ht="14.25" customHeight="1">
      <c r="B70" s="2" t="s">
        <v>363</v>
      </c>
      <c r="C70" s="14" t="s">
        <v>365</v>
      </c>
      <c r="D70" s="121">
        <v>0</v>
      </c>
      <c r="E70" s="50"/>
      <c r="F70" s="50"/>
      <c r="G70" s="42"/>
      <c r="H70" s="42"/>
      <c r="I70" s="42"/>
      <c r="J70" s="42"/>
      <c r="K70" s="42"/>
      <c r="L70" s="42"/>
      <c r="M70" s="42"/>
      <c r="N70" s="42"/>
      <c r="O70" s="42"/>
      <c r="P70" s="42"/>
      <c r="Q70" s="42"/>
      <c r="R70" s="42"/>
      <c r="S70" s="42"/>
      <c r="T70" s="42"/>
      <c r="U70" s="42"/>
      <c r="V70" s="42"/>
      <c r="W70" s="42"/>
      <c r="X70" s="42"/>
      <c r="Y70" s="42"/>
      <c r="Z70" s="42"/>
      <c r="AA70" s="42"/>
      <c r="AB70" s="118"/>
      <c r="AC70" s="118"/>
      <c r="AD70" s="118"/>
    </row>
    <row r="71" spans="2:30" ht="14.25" customHeight="1">
      <c r="B71" s="2" t="s">
        <v>363</v>
      </c>
      <c r="C71" s="14" t="s">
        <v>366</v>
      </c>
      <c r="D71" s="41"/>
      <c r="E71" s="42"/>
      <c r="F71" s="42"/>
      <c r="G71" s="42"/>
      <c r="H71" s="42"/>
      <c r="I71" s="42"/>
      <c r="J71" s="42"/>
      <c r="K71" s="42"/>
      <c r="L71" s="42"/>
      <c r="M71" s="42"/>
      <c r="N71" s="42"/>
      <c r="O71" s="42"/>
      <c r="P71" s="121">
        <v>27106</v>
      </c>
      <c r="Q71" s="42"/>
      <c r="R71" s="42"/>
      <c r="S71" s="42"/>
      <c r="T71" s="42"/>
      <c r="U71" s="42"/>
      <c r="V71" s="42"/>
      <c r="W71" s="42"/>
      <c r="X71" s="42"/>
      <c r="Y71" s="42"/>
      <c r="Z71" s="42"/>
      <c r="AA71" s="42"/>
      <c r="AB71" s="118"/>
      <c r="AC71" s="118"/>
      <c r="AD71" s="118"/>
    </row>
    <row r="72" spans="2:30" ht="14.25" customHeight="1">
      <c r="B72" s="2" t="s">
        <v>363</v>
      </c>
      <c r="C72" s="14" t="s">
        <v>367</v>
      </c>
      <c r="D72" s="42"/>
      <c r="E72" s="42"/>
      <c r="F72" s="42"/>
      <c r="G72" s="42"/>
      <c r="H72" s="42"/>
      <c r="I72" s="42"/>
      <c r="J72" s="42"/>
      <c r="K72" s="42"/>
      <c r="L72" s="42"/>
      <c r="M72" s="42"/>
      <c r="N72" s="42"/>
      <c r="O72" s="42"/>
      <c r="P72" s="42"/>
      <c r="Q72" s="42"/>
      <c r="R72" s="42"/>
      <c r="S72" s="42"/>
      <c r="T72" s="42"/>
      <c r="U72" s="121">
        <v>89862419.71</v>
      </c>
      <c r="V72" s="42"/>
      <c r="W72" s="42"/>
      <c r="X72" s="42"/>
      <c r="Y72" s="42"/>
      <c r="Z72" s="42"/>
      <c r="AA72" s="42"/>
      <c r="AB72" s="118"/>
      <c r="AC72" s="118"/>
      <c r="AD72" s="118"/>
    </row>
    <row r="73" spans="2:6" ht="14.25" customHeight="1">
      <c r="B73" s="2" t="s">
        <v>174</v>
      </c>
      <c r="C73" s="13" t="s">
        <v>175</v>
      </c>
      <c r="D73" s="121">
        <v>0</v>
      </c>
      <c r="E73" s="121">
        <v>0</v>
      </c>
      <c r="F73" s="121">
        <v>0</v>
      </c>
    </row>
    <row r="74" spans="1:17" s="196" customFormat="1" ht="14.25" customHeight="1">
      <c r="A74" s="193"/>
      <c r="B74" s="193"/>
      <c r="C74" s="194"/>
      <c r="D74" s="192"/>
      <c r="E74" s="192"/>
      <c r="F74" s="192"/>
      <c r="G74" s="195"/>
      <c r="H74" s="195"/>
      <c r="I74" s="195"/>
      <c r="J74" s="195"/>
      <c r="K74" s="195"/>
      <c r="L74" s="195"/>
      <c r="M74" s="195"/>
      <c r="N74" s="195"/>
      <c r="O74" s="195"/>
      <c r="P74" s="195"/>
      <c r="Q74" s="195"/>
    </row>
    <row r="75" spans="1:17" ht="14.25" customHeight="1">
      <c r="A75" s="126" t="s">
        <v>368</v>
      </c>
      <c r="B75" s="126"/>
      <c r="C75" s="126"/>
      <c r="D75" s="126"/>
      <c r="E75" s="126"/>
      <c r="F75" s="126"/>
      <c r="G75" s="126"/>
      <c r="H75" s="126"/>
      <c r="I75" s="126"/>
      <c r="J75" s="126"/>
      <c r="K75" s="126"/>
      <c r="L75" s="126"/>
      <c r="M75" s="126"/>
      <c r="N75" s="126"/>
      <c r="O75" s="126"/>
      <c r="P75" s="126"/>
      <c r="Q75" s="126"/>
    </row>
    <row r="76" spans="1:17" ht="14.25" customHeight="1">
      <c r="A76" s="126"/>
      <c r="B76" s="126"/>
      <c r="C76" s="126"/>
      <c r="D76" s="126"/>
      <c r="E76" s="126"/>
      <c r="F76" s="126"/>
      <c r="G76" s="126"/>
      <c r="H76" s="126"/>
      <c r="I76" s="126"/>
      <c r="J76" s="126"/>
      <c r="K76" s="126"/>
      <c r="L76" s="126"/>
      <c r="M76" s="126"/>
      <c r="N76" s="126"/>
      <c r="O76" s="126"/>
      <c r="P76" s="126"/>
      <c r="Q76" s="126"/>
    </row>
    <row r="77" spans="3:15" ht="14.25" customHeight="1">
      <c r="C77" s="15"/>
      <c r="D77" s="4" t="s">
        <v>219</v>
      </c>
      <c r="E77" s="4" t="s">
        <v>219</v>
      </c>
      <c r="F77" s="4" t="s">
        <v>219</v>
      </c>
      <c r="G77" s="4" t="s">
        <v>219</v>
      </c>
      <c r="H77" s="4" t="s">
        <v>219</v>
      </c>
      <c r="I77" s="5" t="s">
        <v>220</v>
      </c>
      <c r="J77" s="5" t="s">
        <v>220</v>
      </c>
      <c r="K77" s="5" t="s">
        <v>220</v>
      </c>
      <c r="L77" s="5" t="s">
        <v>220</v>
      </c>
      <c r="M77" s="5" t="s">
        <v>220</v>
      </c>
      <c r="N77" s="5" t="s">
        <v>220</v>
      </c>
      <c r="O77" s="5" t="s">
        <v>219</v>
      </c>
    </row>
    <row r="78" spans="2:25" ht="67.5" customHeight="1">
      <c r="B78" s="16" t="s">
        <v>369</v>
      </c>
      <c r="C78" s="6" t="s">
        <v>223</v>
      </c>
      <c r="D78" s="11" t="s">
        <v>275</v>
      </c>
      <c r="E78" s="11" t="s">
        <v>276</v>
      </c>
      <c r="F78" s="11" t="s">
        <v>277</v>
      </c>
      <c r="G78" s="11" t="s">
        <v>370</v>
      </c>
      <c r="H78" s="11" t="s">
        <v>371</v>
      </c>
      <c r="I78" s="11" t="s">
        <v>179</v>
      </c>
      <c r="J78" s="11" t="s">
        <v>180</v>
      </c>
      <c r="K78" s="11" t="s">
        <v>181</v>
      </c>
      <c r="L78" s="11" t="s">
        <v>182</v>
      </c>
      <c r="M78" s="11" t="s">
        <v>183</v>
      </c>
      <c r="N78" s="11" t="s">
        <v>184</v>
      </c>
      <c r="O78" s="11" t="s">
        <v>185</v>
      </c>
      <c r="P78" s="11" t="s">
        <v>186</v>
      </c>
      <c r="Q78" s="11" t="s">
        <v>187</v>
      </c>
      <c r="R78" s="11" t="s">
        <v>188</v>
      </c>
      <c r="S78" s="11" t="s">
        <v>189</v>
      </c>
      <c r="T78" s="11" t="s">
        <v>190</v>
      </c>
      <c r="U78" s="11" t="s">
        <v>191</v>
      </c>
      <c r="V78" s="11" t="s">
        <v>192</v>
      </c>
      <c r="W78" s="11" t="s">
        <v>193</v>
      </c>
      <c r="X78" s="11" t="s">
        <v>194</v>
      </c>
      <c r="Y78" s="11" t="s">
        <v>195</v>
      </c>
    </row>
    <row r="79" spans="2:25" ht="14.25" customHeight="1">
      <c r="B79" s="17" t="s">
        <v>372</v>
      </c>
      <c r="C79" s="8" t="s">
        <v>373</v>
      </c>
      <c r="D79" s="121">
        <v>11980100.71</v>
      </c>
      <c r="E79" s="121">
        <v>10680100.71</v>
      </c>
      <c r="F79" s="121">
        <v>10680100.71</v>
      </c>
      <c r="G79" s="121">
        <v>24342951.45</v>
      </c>
      <c r="H79" s="121">
        <v>16340441.53</v>
      </c>
      <c r="I79" s="121">
        <v>12011340.97</v>
      </c>
      <c r="J79" s="121">
        <v>10601564.15</v>
      </c>
      <c r="K79" s="121">
        <v>8781042.74</v>
      </c>
      <c r="L79" s="121">
        <v>9102572.16</v>
      </c>
      <c r="M79" s="121">
        <v>8181408.85</v>
      </c>
      <c r="N79" s="121">
        <v>7644208.39</v>
      </c>
      <c r="O79" s="121">
        <v>11176769.11</v>
      </c>
      <c r="P79" s="83">
        <f>IF($D$239=1,(K79+W79),(O79+X79))</f>
        <v>26225393.549999997</v>
      </c>
      <c r="Q79" s="121">
        <v>17818581.58</v>
      </c>
      <c r="R79" s="121">
        <v>22840079.96</v>
      </c>
      <c r="S79" s="121">
        <v>23326704.33</v>
      </c>
      <c r="T79" s="83">
        <f>IF($D$239=1,(N79+0),(S79+0))</f>
        <v>23326704.33</v>
      </c>
      <c r="U79" s="121">
        <v>9763588.35</v>
      </c>
      <c r="V79" s="121">
        <v>12628469.14</v>
      </c>
      <c r="W79" s="121">
        <v>15080704.61</v>
      </c>
      <c r="X79" s="121">
        <v>15048624.44</v>
      </c>
      <c r="Y79" s="83">
        <f>IF($D$239=1,(K79+0),(O79+0))</f>
        <v>11176769.11</v>
      </c>
    </row>
    <row r="80" spans="2:25" ht="14.25" customHeight="1">
      <c r="B80" s="17" t="s">
        <v>374</v>
      </c>
      <c r="C80" s="8" t="s">
        <v>375</v>
      </c>
      <c r="D80" s="121">
        <v>0</v>
      </c>
      <c r="E80" s="121">
        <v>0</v>
      </c>
      <c r="F80" s="121">
        <v>0</v>
      </c>
      <c r="G80" s="121">
        <v>0</v>
      </c>
      <c r="H80" s="121">
        <v>0</v>
      </c>
      <c r="I80" s="121">
        <v>0</v>
      </c>
      <c r="J80" s="121">
        <v>0</v>
      </c>
      <c r="K80" s="121">
        <v>0</v>
      </c>
      <c r="L80" s="121">
        <v>0</v>
      </c>
      <c r="M80" s="121">
        <v>0</v>
      </c>
      <c r="N80" s="121">
        <v>0</v>
      </c>
      <c r="O80" s="121">
        <v>0</v>
      </c>
      <c r="P80" s="83">
        <f aca="true" t="shared" si="0" ref="P80:P116">IF($D$239=1,(K80+W80),(O80+X80))</f>
        <v>0</v>
      </c>
      <c r="Q80" s="121">
        <v>0</v>
      </c>
      <c r="R80" s="121">
        <v>0</v>
      </c>
      <c r="S80" s="121">
        <v>0</v>
      </c>
      <c r="T80" s="83">
        <f aca="true" t="shared" si="1" ref="T80:T116">IF($D$239=1,(N80+0),(S80+0))</f>
        <v>0</v>
      </c>
      <c r="U80" s="121">
        <v>0</v>
      </c>
      <c r="V80" s="121">
        <v>0</v>
      </c>
      <c r="W80" s="121">
        <v>0</v>
      </c>
      <c r="X80" s="121">
        <v>0</v>
      </c>
      <c r="Y80" s="83">
        <f aca="true" t="shared" si="2" ref="Y80:Y116">IF($D$239=1,(K80+0),(O80+0))</f>
        <v>0</v>
      </c>
    </row>
    <row r="81" spans="2:25" ht="14.25" customHeight="1">
      <c r="B81" s="17" t="s">
        <v>376</v>
      </c>
      <c r="C81" s="8" t="s">
        <v>377</v>
      </c>
      <c r="D81" s="121">
        <v>1834030.96</v>
      </c>
      <c r="E81" s="121">
        <v>1834030.96</v>
      </c>
      <c r="F81" s="121">
        <v>1834030.96</v>
      </c>
      <c r="G81" s="121">
        <v>2100865.31</v>
      </c>
      <c r="H81" s="121">
        <v>266834.35</v>
      </c>
      <c r="I81" s="121">
        <v>1758212.63</v>
      </c>
      <c r="J81" s="121">
        <v>1817622.15</v>
      </c>
      <c r="K81" s="121">
        <v>1819308.98</v>
      </c>
      <c r="L81" s="121">
        <v>2050758.73</v>
      </c>
      <c r="M81" s="121">
        <v>1654602.29</v>
      </c>
      <c r="N81" s="121">
        <v>1815287.69</v>
      </c>
      <c r="O81" s="121">
        <v>1819308.98</v>
      </c>
      <c r="P81" s="83">
        <f t="shared" si="0"/>
        <v>2082122.04</v>
      </c>
      <c r="Q81" s="121">
        <v>2112130.95</v>
      </c>
      <c r="R81" s="121">
        <v>1929037.15</v>
      </c>
      <c r="S81" s="121">
        <v>2082122.04</v>
      </c>
      <c r="T81" s="83">
        <f t="shared" si="1"/>
        <v>2082122.04</v>
      </c>
      <c r="U81" s="121">
        <v>403961.1</v>
      </c>
      <c r="V81" s="121">
        <v>99793.2</v>
      </c>
      <c r="W81" s="121">
        <v>262813.06</v>
      </c>
      <c r="X81" s="121">
        <v>262813.06</v>
      </c>
      <c r="Y81" s="83">
        <f t="shared" si="2"/>
        <v>1819308.98</v>
      </c>
    </row>
    <row r="82" spans="2:25" ht="14.25" customHeight="1">
      <c r="B82" s="17" t="s">
        <v>378</v>
      </c>
      <c r="C82" s="8" t="s">
        <v>379</v>
      </c>
      <c r="D82" s="121">
        <v>0</v>
      </c>
      <c r="E82" s="121">
        <v>0</v>
      </c>
      <c r="F82" s="121">
        <v>0</v>
      </c>
      <c r="G82" s="121">
        <v>0</v>
      </c>
      <c r="H82" s="121">
        <v>0</v>
      </c>
      <c r="I82" s="121">
        <v>0</v>
      </c>
      <c r="J82" s="121">
        <v>0</v>
      </c>
      <c r="K82" s="121">
        <v>0</v>
      </c>
      <c r="L82" s="121">
        <v>0</v>
      </c>
      <c r="M82" s="121">
        <v>0</v>
      </c>
      <c r="N82" s="121">
        <v>0</v>
      </c>
      <c r="O82" s="121">
        <v>0</v>
      </c>
      <c r="P82" s="83">
        <f t="shared" si="0"/>
        <v>0</v>
      </c>
      <c r="Q82" s="121">
        <v>0</v>
      </c>
      <c r="R82" s="121">
        <v>0</v>
      </c>
      <c r="S82" s="121">
        <v>0</v>
      </c>
      <c r="T82" s="83">
        <f t="shared" si="1"/>
        <v>0</v>
      </c>
      <c r="U82" s="121">
        <v>0</v>
      </c>
      <c r="V82" s="121">
        <v>0</v>
      </c>
      <c r="W82" s="121">
        <v>0</v>
      </c>
      <c r="X82" s="121">
        <v>0</v>
      </c>
      <c r="Y82" s="83">
        <f t="shared" si="2"/>
        <v>0</v>
      </c>
    </row>
    <row r="83" spans="2:25" ht="14.25" customHeight="1">
      <c r="B83" s="18" t="s">
        <v>380</v>
      </c>
      <c r="C83" s="19" t="s">
        <v>381</v>
      </c>
      <c r="D83" s="121">
        <v>13814131.67</v>
      </c>
      <c r="E83" s="121">
        <v>12514131.67</v>
      </c>
      <c r="F83" s="121">
        <v>12514131.67</v>
      </c>
      <c r="G83" s="121">
        <v>26443816.76</v>
      </c>
      <c r="H83" s="121">
        <v>16607275.88</v>
      </c>
      <c r="I83" s="121">
        <v>13769553.6</v>
      </c>
      <c r="J83" s="121">
        <v>12419186.3</v>
      </c>
      <c r="K83" s="121">
        <v>10600351.72</v>
      </c>
      <c r="L83" s="121">
        <v>11153330.89</v>
      </c>
      <c r="M83" s="121">
        <v>9836011.14</v>
      </c>
      <c r="N83" s="121">
        <v>9459496.08</v>
      </c>
      <c r="O83" s="121">
        <v>12996078.09</v>
      </c>
      <c r="P83" s="83">
        <f t="shared" si="0"/>
        <v>28307515.59</v>
      </c>
      <c r="Q83" s="121">
        <v>19930712.53</v>
      </c>
      <c r="R83" s="121">
        <v>24769117.11</v>
      </c>
      <c r="S83" s="121">
        <v>25408826.37</v>
      </c>
      <c r="T83" s="83">
        <f t="shared" si="1"/>
        <v>25408826.37</v>
      </c>
      <c r="U83" s="121">
        <v>10167549.45</v>
      </c>
      <c r="V83" s="121">
        <v>12728262.34</v>
      </c>
      <c r="W83" s="121">
        <v>15343517.67</v>
      </c>
      <c r="X83" s="121">
        <v>15311437.5</v>
      </c>
      <c r="Y83" s="83">
        <f t="shared" si="2"/>
        <v>12996078.09</v>
      </c>
    </row>
    <row r="84" spans="2:25" ht="14.25" customHeight="1">
      <c r="B84" s="17" t="s">
        <v>382</v>
      </c>
      <c r="C84" s="8" t="s">
        <v>383</v>
      </c>
      <c r="D84" s="121">
        <v>14097486.88</v>
      </c>
      <c r="E84" s="121">
        <v>13879884.51</v>
      </c>
      <c r="F84" s="121">
        <v>13879884.51</v>
      </c>
      <c r="G84" s="121">
        <v>15417491.56</v>
      </c>
      <c r="H84" s="121">
        <v>1420004.68</v>
      </c>
      <c r="I84" s="121">
        <v>14277286.7</v>
      </c>
      <c r="J84" s="121">
        <v>14711385.11</v>
      </c>
      <c r="K84" s="121">
        <v>13594539.94</v>
      </c>
      <c r="L84" s="121">
        <v>15827754.6</v>
      </c>
      <c r="M84" s="121">
        <v>17153018.7</v>
      </c>
      <c r="N84" s="121">
        <v>15038454.73</v>
      </c>
      <c r="O84" s="121">
        <v>14415211.42</v>
      </c>
      <c r="P84" s="83">
        <f t="shared" si="0"/>
        <v>17117877.28</v>
      </c>
      <c r="Q84" s="121">
        <v>21992236.75</v>
      </c>
      <c r="R84" s="121">
        <v>18975801.9</v>
      </c>
      <c r="S84" s="121">
        <v>17145574.37</v>
      </c>
      <c r="T84" s="83">
        <f t="shared" si="1"/>
        <v>17145574.37</v>
      </c>
      <c r="U84" s="121">
        <v>5977202.56</v>
      </c>
      <c r="V84" s="121">
        <v>5144299.45</v>
      </c>
      <c r="W84" s="121">
        <v>2863919.47</v>
      </c>
      <c r="X84" s="121">
        <v>2702665.86</v>
      </c>
      <c r="Y84" s="83">
        <f t="shared" si="2"/>
        <v>14415211.42</v>
      </c>
    </row>
    <row r="85" spans="2:25" ht="14.25" customHeight="1">
      <c r="B85" s="17" t="s">
        <v>384</v>
      </c>
      <c r="C85" s="8" t="s">
        <v>385</v>
      </c>
      <c r="D85" s="121">
        <v>0</v>
      </c>
      <c r="E85" s="121">
        <v>0</v>
      </c>
      <c r="F85" s="121">
        <v>0</v>
      </c>
      <c r="G85" s="121">
        <v>0</v>
      </c>
      <c r="H85" s="121">
        <v>0</v>
      </c>
      <c r="I85" s="121">
        <v>0</v>
      </c>
      <c r="J85" s="121">
        <v>0</v>
      </c>
      <c r="K85" s="121">
        <v>0</v>
      </c>
      <c r="L85" s="121">
        <v>0</v>
      </c>
      <c r="M85" s="121">
        <v>0</v>
      </c>
      <c r="N85" s="121">
        <v>0</v>
      </c>
      <c r="O85" s="121">
        <v>0</v>
      </c>
      <c r="P85" s="83">
        <f t="shared" si="0"/>
        <v>0</v>
      </c>
      <c r="Q85" s="121">
        <v>0</v>
      </c>
      <c r="R85" s="121">
        <v>0</v>
      </c>
      <c r="S85" s="121">
        <v>0</v>
      </c>
      <c r="T85" s="83">
        <f t="shared" si="1"/>
        <v>0</v>
      </c>
      <c r="U85" s="121">
        <v>0</v>
      </c>
      <c r="V85" s="121">
        <v>0</v>
      </c>
      <c r="W85" s="121">
        <v>0</v>
      </c>
      <c r="X85" s="121">
        <v>0</v>
      </c>
      <c r="Y85" s="83">
        <f t="shared" si="2"/>
        <v>0</v>
      </c>
    </row>
    <row r="86" spans="2:25" ht="14.25" customHeight="1">
      <c r="B86" s="17" t="s">
        <v>386</v>
      </c>
      <c r="C86" s="8" t="s">
        <v>387</v>
      </c>
      <c r="D86" s="121">
        <v>0</v>
      </c>
      <c r="E86" s="121">
        <v>0</v>
      </c>
      <c r="F86" s="121">
        <v>0</v>
      </c>
      <c r="G86" s="121">
        <v>0</v>
      </c>
      <c r="H86" s="121">
        <v>0</v>
      </c>
      <c r="I86" s="121">
        <v>2000</v>
      </c>
      <c r="J86" s="121">
        <v>0</v>
      </c>
      <c r="K86" s="121">
        <v>0</v>
      </c>
      <c r="L86" s="121">
        <v>0</v>
      </c>
      <c r="M86" s="121">
        <v>0</v>
      </c>
      <c r="N86" s="121">
        <v>0</v>
      </c>
      <c r="O86" s="121">
        <v>50000</v>
      </c>
      <c r="P86" s="83">
        <f t="shared" si="0"/>
        <v>50000</v>
      </c>
      <c r="Q86" s="121">
        <v>53000</v>
      </c>
      <c r="R86" s="121">
        <v>62000</v>
      </c>
      <c r="S86" s="121">
        <v>50000</v>
      </c>
      <c r="T86" s="83">
        <f t="shared" si="1"/>
        <v>50000</v>
      </c>
      <c r="U86" s="121">
        <v>0</v>
      </c>
      <c r="V86" s="121">
        <v>0</v>
      </c>
      <c r="W86" s="121">
        <v>0</v>
      </c>
      <c r="X86" s="121">
        <v>0</v>
      </c>
      <c r="Y86" s="83">
        <f t="shared" si="2"/>
        <v>50000</v>
      </c>
    </row>
    <row r="87" spans="2:25" ht="14.25" customHeight="1">
      <c r="B87" s="17" t="s">
        <v>388</v>
      </c>
      <c r="C87" s="8" t="s">
        <v>389</v>
      </c>
      <c r="D87" s="121">
        <v>0</v>
      </c>
      <c r="E87" s="121">
        <v>0</v>
      </c>
      <c r="F87" s="121">
        <v>0</v>
      </c>
      <c r="G87" s="121">
        <v>0</v>
      </c>
      <c r="H87" s="121">
        <v>0</v>
      </c>
      <c r="I87" s="121">
        <v>0</v>
      </c>
      <c r="J87" s="121">
        <v>0</v>
      </c>
      <c r="K87" s="121">
        <v>0</v>
      </c>
      <c r="L87" s="121">
        <v>0</v>
      </c>
      <c r="M87" s="121">
        <v>0</v>
      </c>
      <c r="N87" s="121">
        <v>0</v>
      </c>
      <c r="O87" s="121">
        <v>0</v>
      </c>
      <c r="P87" s="83">
        <f t="shared" si="0"/>
        <v>0</v>
      </c>
      <c r="Q87" s="121">
        <v>0</v>
      </c>
      <c r="R87" s="121">
        <v>0</v>
      </c>
      <c r="S87" s="121">
        <v>0</v>
      </c>
      <c r="T87" s="83">
        <f t="shared" si="1"/>
        <v>0</v>
      </c>
      <c r="U87" s="121">
        <v>0</v>
      </c>
      <c r="V87" s="121">
        <v>0</v>
      </c>
      <c r="W87" s="121">
        <v>0</v>
      </c>
      <c r="X87" s="121">
        <v>0</v>
      </c>
      <c r="Y87" s="83">
        <f t="shared" si="2"/>
        <v>0</v>
      </c>
    </row>
    <row r="88" spans="2:25" ht="14.25" customHeight="1">
      <c r="B88" s="17" t="s">
        <v>390</v>
      </c>
      <c r="C88" s="8" t="s">
        <v>391</v>
      </c>
      <c r="D88" s="121">
        <v>0</v>
      </c>
      <c r="E88" s="121">
        <v>0</v>
      </c>
      <c r="F88" s="121">
        <v>0</v>
      </c>
      <c r="G88" s="121">
        <v>0</v>
      </c>
      <c r="H88" s="121">
        <v>0</v>
      </c>
      <c r="I88" s="121">
        <v>0</v>
      </c>
      <c r="J88" s="121">
        <v>0</v>
      </c>
      <c r="K88" s="121">
        <v>0</v>
      </c>
      <c r="L88" s="121">
        <v>0</v>
      </c>
      <c r="M88" s="121">
        <v>0</v>
      </c>
      <c r="N88" s="121">
        <v>0</v>
      </c>
      <c r="O88" s="121">
        <v>0</v>
      </c>
      <c r="P88" s="83">
        <f t="shared" si="0"/>
        <v>0</v>
      </c>
      <c r="Q88" s="121">
        <v>0</v>
      </c>
      <c r="R88" s="121">
        <v>0</v>
      </c>
      <c r="S88" s="121">
        <v>0</v>
      </c>
      <c r="T88" s="83">
        <f t="shared" si="1"/>
        <v>0</v>
      </c>
      <c r="U88" s="121">
        <v>0</v>
      </c>
      <c r="V88" s="121">
        <v>0</v>
      </c>
      <c r="W88" s="121">
        <v>0</v>
      </c>
      <c r="X88" s="121">
        <v>0</v>
      </c>
      <c r="Y88" s="83">
        <f t="shared" si="2"/>
        <v>0</v>
      </c>
    </row>
    <row r="89" spans="2:25" ht="14.25" customHeight="1">
      <c r="B89" s="18" t="s">
        <v>392</v>
      </c>
      <c r="C89" s="19" t="s">
        <v>393</v>
      </c>
      <c r="D89" s="121">
        <v>14097486.88</v>
      </c>
      <c r="E89" s="121">
        <v>13879884.51</v>
      </c>
      <c r="F89" s="121">
        <v>13879884.51</v>
      </c>
      <c r="G89" s="121">
        <v>15417491.56</v>
      </c>
      <c r="H89" s="121">
        <v>1420004.68</v>
      </c>
      <c r="I89" s="121">
        <v>14279286.7</v>
      </c>
      <c r="J89" s="121">
        <v>14711385.11</v>
      </c>
      <c r="K89" s="121">
        <v>13594539.94</v>
      </c>
      <c r="L89" s="121">
        <v>15827754.6</v>
      </c>
      <c r="M89" s="121">
        <v>17153018.7</v>
      </c>
      <c r="N89" s="121">
        <v>15038454.73</v>
      </c>
      <c r="O89" s="121">
        <v>14465211.42</v>
      </c>
      <c r="P89" s="83">
        <f t="shared" si="0"/>
        <v>17167877.28</v>
      </c>
      <c r="Q89" s="121">
        <v>22045236.75</v>
      </c>
      <c r="R89" s="121">
        <v>19037801.9</v>
      </c>
      <c r="S89" s="121">
        <v>17195574.37</v>
      </c>
      <c r="T89" s="83">
        <f t="shared" si="1"/>
        <v>17195574.37</v>
      </c>
      <c r="U89" s="121">
        <v>5977202.56</v>
      </c>
      <c r="V89" s="121">
        <v>5144299.45</v>
      </c>
      <c r="W89" s="121">
        <v>2863919.47</v>
      </c>
      <c r="X89" s="121">
        <v>2702665.86</v>
      </c>
      <c r="Y89" s="83">
        <f t="shared" si="2"/>
        <v>14465211.42</v>
      </c>
    </row>
    <row r="90" spans="2:25" ht="14.25" customHeight="1">
      <c r="B90" s="17" t="s">
        <v>394</v>
      </c>
      <c r="C90" s="8" t="s">
        <v>395</v>
      </c>
      <c r="D90" s="121">
        <v>2709100</v>
      </c>
      <c r="E90" s="121">
        <v>2762100</v>
      </c>
      <c r="F90" s="121">
        <v>2762100</v>
      </c>
      <c r="G90" s="121">
        <v>3675975.19</v>
      </c>
      <c r="H90" s="121">
        <v>1079928.82</v>
      </c>
      <c r="I90" s="121">
        <v>2043192.72</v>
      </c>
      <c r="J90" s="121">
        <v>2358440.56</v>
      </c>
      <c r="K90" s="121">
        <v>2241967.19</v>
      </c>
      <c r="L90" s="121">
        <v>1853400.31</v>
      </c>
      <c r="M90" s="121">
        <v>2794030.4</v>
      </c>
      <c r="N90" s="121">
        <v>2343278.73</v>
      </c>
      <c r="O90" s="121">
        <v>2954067.77</v>
      </c>
      <c r="P90" s="83">
        <f t="shared" si="0"/>
        <v>4109294.6</v>
      </c>
      <c r="Q90" s="121">
        <v>4305603.77</v>
      </c>
      <c r="R90" s="121">
        <v>4180145.07</v>
      </c>
      <c r="S90" s="121">
        <v>4154681.39</v>
      </c>
      <c r="T90" s="83">
        <f t="shared" si="1"/>
        <v>4154681.39</v>
      </c>
      <c r="U90" s="121">
        <v>1383828.01</v>
      </c>
      <c r="V90" s="121">
        <v>1590816.67</v>
      </c>
      <c r="W90" s="121">
        <v>1181240.36</v>
      </c>
      <c r="X90" s="121">
        <v>1155226.83</v>
      </c>
      <c r="Y90" s="83">
        <f t="shared" si="2"/>
        <v>2954067.77</v>
      </c>
    </row>
    <row r="91" spans="2:25" ht="14.25" customHeight="1">
      <c r="B91" s="17" t="s">
        <v>396</v>
      </c>
      <c r="C91" s="8" t="s">
        <v>397</v>
      </c>
      <c r="D91" s="121">
        <v>1530500</v>
      </c>
      <c r="E91" s="121">
        <v>1530500</v>
      </c>
      <c r="F91" s="121">
        <v>1530500</v>
      </c>
      <c r="G91" s="121">
        <v>5756336.22</v>
      </c>
      <c r="H91" s="121">
        <v>4722062.79</v>
      </c>
      <c r="I91" s="121">
        <v>1449652.47</v>
      </c>
      <c r="J91" s="121">
        <v>1218065.38</v>
      </c>
      <c r="K91" s="121">
        <v>849806.32</v>
      </c>
      <c r="L91" s="121">
        <v>974528.85</v>
      </c>
      <c r="M91" s="121">
        <v>807224.19</v>
      </c>
      <c r="N91" s="121">
        <v>931400.3</v>
      </c>
      <c r="O91" s="121">
        <v>1668500</v>
      </c>
      <c r="P91" s="83">
        <f t="shared" si="0"/>
        <v>6470785.42</v>
      </c>
      <c r="Q91" s="121">
        <v>5481438.91</v>
      </c>
      <c r="R91" s="121">
        <v>5499857.55</v>
      </c>
      <c r="S91" s="121">
        <v>5972156.77</v>
      </c>
      <c r="T91" s="83">
        <f t="shared" si="1"/>
        <v>5972156.77</v>
      </c>
      <c r="U91" s="121">
        <v>3898874.02</v>
      </c>
      <c r="V91" s="121">
        <v>4391444.23</v>
      </c>
      <c r="W91" s="121">
        <v>4803656.77</v>
      </c>
      <c r="X91" s="121">
        <v>4802285.42</v>
      </c>
      <c r="Y91" s="83">
        <f t="shared" si="2"/>
        <v>1668500</v>
      </c>
    </row>
    <row r="92" spans="2:25" ht="14.25" customHeight="1">
      <c r="B92" s="17" t="s">
        <v>398</v>
      </c>
      <c r="C92" s="8" t="s">
        <v>399</v>
      </c>
      <c r="D92" s="121">
        <v>51000</v>
      </c>
      <c r="E92" s="121">
        <v>51000</v>
      </c>
      <c r="F92" s="121">
        <v>51000</v>
      </c>
      <c r="G92" s="121">
        <v>64172.98</v>
      </c>
      <c r="H92" s="121">
        <v>13172.98</v>
      </c>
      <c r="I92" s="121">
        <v>54310.34</v>
      </c>
      <c r="J92" s="121">
        <v>44381.95</v>
      </c>
      <c r="K92" s="121">
        <v>46130.98</v>
      </c>
      <c r="L92" s="121">
        <v>56454.49</v>
      </c>
      <c r="M92" s="121">
        <v>62698.03</v>
      </c>
      <c r="N92" s="121">
        <v>45778.11</v>
      </c>
      <c r="O92" s="121">
        <v>56000</v>
      </c>
      <c r="P92" s="83">
        <f t="shared" si="0"/>
        <v>68689.13</v>
      </c>
      <c r="Q92" s="121">
        <v>273085.93</v>
      </c>
      <c r="R92" s="121">
        <v>121915.27</v>
      </c>
      <c r="S92" s="121">
        <v>68820.11</v>
      </c>
      <c r="T92" s="83">
        <f t="shared" si="1"/>
        <v>68820.11</v>
      </c>
      <c r="U92" s="121">
        <v>21418.78</v>
      </c>
      <c r="V92" s="121">
        <v>31005.21</v>
      </c>
      <c r="W92" s="121">
        <v>12820.11</v>
      </c>
      <c r="X92" s="121">
        <v>12689.13</v>
      </c>
      <c r="Y92" s="83">
        <f t="shared" si="2"/>
        <v>56000</v>
      </c>
    </row>
    <row r="93" spans="2:25" ht="14.25" customHeight="1">
      <c r="B93" s="17" t="s">
        <v>400</v>
      </c>
      <c r="C93" s="8" t="s">
        <v>401</v>
      </c>
      <c r="D93" s="121">
        <v>0</v>
      </c>
      <c r="E93" s="121">
        <v>0</v>
      </c>
      <c r="F93" s="121">
        <v>0</v>
      </c>
      <c r="G93" s="121">
        <v>75000</v>
      </c>
      <c r="H93" s="121">
        <v>75000</v>
      </c>
      <c r="I93" s="121">
        <v>0</v>
      </c>
      <c r="J93" s="121">
        <v>600000</v>
      </c>
      <c r="K93" s="121">
        <v>75000</v>
      </c>
      <c r="L93" s="121">
        <v>0</v>
      </c>
      <c r="M93" s="121">
        <v>0</v>
      </c>
      <c r="N93" s="121">
        <v>600000</v>
      </c>
      <c r="O93" s="121">
        <v>75000</v>
      </c>
      <c r="P93" s="83">
        <f t="shared" si="0"/>
        <v>675000</v>
      </c>
      <c r="Q93" s="121">
        <v>0</v>
      </c>
      <c r="R93" s="121">
        <v>600000</v>
      </c>
      <c r="S93" s="121">
        <v>675000</v>
      </c>
      <c r="T93" s="83">
        <f t="shared" si="1"/>
        <v>675000</v>
      </c>
      <c r="U93" s="121">
        <v>0</v>
      </c>
      <c r="V93" s="121">
        <v>0</v>
      </c>
      <c r="W93" s="121">
        <v>600000</v>
      </c>
      <c r="X93" s="121">
        <v>600000</v>
      </c>
      <c r="Y93" s="83">
        <f t="shared" si="2"/>
        <v>75000</v>
      </c>
    </row>
    <row r="94" spans="2:25" ht="14.25" customHeight="1">
      <c r="B94" s="20" t="s">
        <v>402</v>
      </c>
      <c r="C94" s="8" t="s">
        <v>403</v>
      </c>
      <c r="D94" s="121">
        <v>3136558.39</v>
      </c>
      <c r="E94" s="121">
        <v>3136558.39</v>
      </c>
      <c r="F94" s="121">
        <v>3136558.39</v>
      </c>
      <c r="G94" s="121">
        <v>3726732.22</v>
      </c>
      <c r="H94" s="121">
        <v>590173.83</v>
      </c>
      <c r="I94" s="121">
        <v>907487.46</v>
      </c>
      <c r="J94" s="121">
        <v>1510539.96</v>
      </c>
      <c r="K94" s="121">
        <v>1654469.38</v>
      </c>
      <c r="L94" s="121">
        <v>847156.41</v>
      </c>
      <c r="M94" s="121">
        <v>1200358.89</v>
      </c>
      <c r="N94" s="121">
        <v>1489671.16</v>
      </c>
      <c r="O94" s="121">
        <v>3181376.21</v>
      </c>
      <c r="P94" s="83">
        <f t="shared" si="0"/>
        <v>3598801.73</v>
      </c>
      <c r="Q94" s="121">
        <v>1963269</v>
      </c>
      <c r="R94" s="121">
        <v>3414536.56</v>
      </c>
      <c r="S94" s="121">
        <v>3599368.46</v>
      </c>
      <c r="T94" s="83">
        <f t="shared" si="1"/>
        <v>3599368.46</v>
      </c>
      <c r="U94" s="121">
        <v>58923.44</v>
      </c>
      <c r="V94" s="121">
        <v>107244.45</v>
      </c>
      <c r="W94" s="121">
        <v>425375.61</v>
      </c>
      <c r="X94" s="121">
        <v>417425.52</v>
      </c>
      <c r="Y94" s="83">
        <f t="shared" si="2"/>
        <v>3181376.21</v>
      </c>
    </row>
    <row r="95" spans="2:25" ht="14.25" customHeight="1">
      <c r="B95" s="18" t="s">
        <v>404</v>
      </c>
      <c r="C95" s="19" t="s">
        <v>405</v>
      </c>
      <c r="D95" s="121">
        <v>7427158.39</v>
      </c>
      <c r="E95" s="121">
        <v>7480158.39</v>
      </c>
      <c r="F95" s="121">
        <v>7480158.39</v>
      </c>
      <c r="G95" s="121">
        <v>13298216.61</v>
      </c>
      <c r="H95" s="121">
        <v>6480338.42</v>
      </c>
      <c r="I95" s="121">
        <v>4454642.99</v>
      </c>
      <c r="J95" s="121">
        <v>5731427.85</v>
      </c>
      <c r="K95" s="121">
        <v>4867373.87</v>
      </c>
      <c r="L95" s="121">
        <v>3731540.06</v>
      </c>
      <c r="M95" s="121">
        <v>4864311.51</v>
      </c>
      <c r="N95" s="121">
        <v>5410128.3</v>
      </c>
      <c r="O95" s="121">
        <v>7934943.98</v>
      </c>
      <c r="P95" s="83">
        <f t="shared" si="0"/>
        <v>14922570.88</v>
      </c>
      <c r="Q95" s="121">
        <v>12023397.61</v>
      </c>
      <c r="R95" s="121">
        <v>13816454.45</v>
      </c>
      <c r="S95" s="121">
        <v>14470026.73</v>
      </c>
      <c r="T95" s="83">
        <f t="shared" si="1"/>
        <v>14470026.73</v>
      </c>
      <c r="U95" s="121">
        <v>5363044.25</v>
      </c>
      <c r="V95" s="121">
        <v>6120510.56</v>
      </c>
      <c r="W95" s="121">
        <v>7023092.85</v>
      </c>
      <c r="X95" s="121">
        <v>6987626.9</v>
      </c>
      <c r="Y95" s="83">
        <f t="shared" si="2"/>
        <v>7934943.98</v>
      </c>
    </row>
    <row r="96" spans="2:25" ht="14.25" customHeight="1">
      <c r="B96" s="17" t="s">
        <v>406</v>
      </c>
      <c r="C96" s="8" t="s">
        <v>407</v>
      </c>
      <c r="D96" s="121">
        <v>0</v>
      </c>
      <c r="E96" s="121">
        <v>0</v>
      </c>
      <c r="F96" s="121">
        <v>0</v>
      </c>
      <c r="G96" s="121">
        <v>0</v>
      </c>
      <c r="H96" s="121">
        <v>0</v>
      </c>
      <c r="I96" s="121">
        <v>0</v>
      </c>
      <c r="J96" s="121">
        <v>0</v>
      </c>
      <c r="K96" s="121">
        <v>0</v>
      </c>
      <c r="L96" s="121">
        <v>0</v>
      </c>
      <c r="M96" s="121">
        <v>0</v>
      </c>
      <c r="N96" s="121">
        <v>0</v>
      </c>
      <c r="O96" s="121">
        <v>0</v>
      </c>
      <c r="P96" s="83">
        <f t="shared" si="0"/>
        <v>0</v>
      </c>
      <c r="Q96" s="121">
        <v>0</v>
      </c>
      <c r="R96" s="121">
        <v>0</v>
      </c>
      <c r="S96" s="121">
        <v>0</v>
      </c>
      <c r="T96" s="83">
        <f t="shared" si="1"/>
        <v>0</v>
      </c>
      <c r="U96" s="121">
        <v>0</v>
      </c>
      <c r="V96" s="121">
        <v>0</v>
      </c>
      <c r="W96" s="121">
        <v>0</v>
      </c>
      <c r="X96" s="121">
        <v>0</v>
      </c>
      <c r="Y96" s="83">
        <f t="shared" si="2"/>
        <v>0</v>
      </c>
    </row>
    <row r="97" spans="2:25" ht="14.25" customHeight="1">
      <c r="B97" s="17" t="s">
        <v>408</v>
      </c>
      <c r="C97" s="8" t="s">
        <v>345</v>
      </c>
      <c r="D97" s="121">
        <v>25220061.22</v>
      </c>
      <c r="E97" s="121">
        <v>27955616.28</v>
      </c>
      <c r="F97" s="121">
        <v>13338442.7</v>
      </c>
      <c r="G97" s="121">
        <v>25946836.05</v>
      </c>
      <c r="H97" s="121">
        <v>726774.83</v>
      </c>
      <c r="I97" s="121">
        <v>3995318.9</v>
      </c>
      <c r="J97" s="121">
        <v>6354398.78</v>
      </c>
      <c r="K97" s="121">
        <v>3345419.11</v>
      </c>
      <c r="L97" s="121">
        <v>3605453.9</v>
      </c>
      <c r="M97" s="121">
        <v>6669834.79</v>
      </c>
      <c r="N97" s="121">
        <v>3319837.58</v>
      </c>
      <c r="O97" s="121">
        <v>5419066.95</v>
      </c>
      <c r="P97" s="83">
        <f t="shared" si="0"/>
        <v>6117733.54</v>
      </c>
      <c r="Q97" s="121">
        <v>13114246.39</v>
      </c>
      <c r="R97" s="121">
        <v>30073112.14</v>
      </c>
      <c r="S97" s="121">
        <v>6117733.54</v>
      </c>
      <c r="T97" s="83">
        <f t="shared" si="1"/>
        <v>6117733.54</v>
      </c>
      <c r="U97" s="121">
        <v>1052423.57</v>
      </c>
      <c r="V97" s="121">
        <v>1014102.6</v>
      </c>
      <c r="W97" s="121">
        <v>701193.3</v>
      </c>
      <c r="X97" s="121">
        <v>698666.59</v>
      </c>
      <c r="Y97" s="83">
        <f t="shared" si="2"/>
        <v>5419066.95</v>
      </c>
    </row>
    <row r="98" spans="2:25" ht="14.25" customHeight="1">
      <c r="B98" s="17" t="s">
        <v>409</v>
      </c>
      <c r="C98" s="8" t="s">
        <v>410</v>
      </c>
      <c r="D98" s="121">
        <v>0</v>
      </c>
      <c r="E98" s="121">
        <v>0</v>
      </c>
      <c r="F98" s="121">
        <v>0</v>
      </c>
      <c r="G98" s="121">
        <v>0</v>
      </c>
      <c r="H98" s="121">
        <v>0</v>
      </c>
      <c r="I98" s="121">
        <v>0</v>
      </c>
      <c r="J98" s="121">
        <v>0</v>
      </c>
      <c r="K98" s="121">
        <v>0</v>
      </c>
      <c r="L98" s="121">
        <v>0</v>
      </c>
      <c r="M98" s="121">
        <v>0</v>
      </c>
      <c r="N98" s="121">
        <v>0</v>
      </c>
      <c r="O98" s="121">
        <v>0</v>
      </c>
      <c r="P98" s="83">
        <f t="shared" si="0"/>
        <v>0</v>
      </c>
      <c r="Q98" s="121">
        <v>0</v>
      </c>
      <c r="R98" s="121">
        <v>0</v>
      </c>
      <c r="S98" s="121">
        <v>0</v>
      </c>
      <c r="T98" s="83">
        <f t="shared" si="1"/>
        <v>0</v>
      </c>
      <c r="U98" s="121">
        <v>0</v>
      </c>
      <c r="V98" s="121">
        <v>0</v>
      </c>
      <c r="W98" s="121">
        <v>0</v>
      </c>
      <c r="X98" s="121">
        <v>0</v>
      </c>
      <c r="Y98" s="83">
        <f t="shared" si="2"/>
        <v>0</v>
      </c>
    </row>
    <row r="99" spans="2:25" ht="14.25" customHeight="1">
      <c r="B99" s="17" t="s">
        <v>411</v>
      </c>
      <c r="C99" s="8" t="s">
        <v>412</v>
      </c>
      <c r="D99" s="121">
        <v>2678814.8</v>
      </c>
      <c r="E99" s="121">
        <v>320000</v>
      </c>
      <c r="F99" s="121">
        <v>270000</v>
      </c>
      <c r="G99" s="121">
        <v>2693894.43</v>
      </c>
      <c r="H99" s="121">
        <v>16056.69</v>
      </c>
      <c r="I99" s="121">
        <v>17494.36</v>
      </c>
      <c r="J99" s="121">
        <v>6551.6</v>
      </c>
      <c r="K99" s="121">
        <v>18022.44</v>
      </c>
      <c r="L99" s="121">
        <v>24087.82</v>
      </c>
      <c r="M99" s="121">
        <v>7519.77</v>
      </c>
      <c r="N99" s="121">
        <v>1965.75</v>
      </c>
      <c r="O99" s="121">
        <v>470994.12</v>
      </c>
      <c r="P99" s="83">
        <f t="shared" si="0"/>
        <v>470994.12</v>
      </c>
      <c r="Q99" s="121">
        <v>319546.01</v>
      </c>
      <c r="R99" s="121">
        <v>2931343.85</v>
      </c>
      <c r="S99" s="121">
        <v>83245.14</v>
      </c>
      <c r="T99" s="83">
        <f t="shared" si="1"/>
        <v>83245.14</v>
      </c>
      <c r="U99" s="121">
        <v>7561.63</v>
      </c>
      <c r="V99" s="121">
        <v>968.17</v>
      </c>
      <c r="W99" s="121">
        <v>0</v>
      </c>
      <c r="X99" s="121">
        <v>0</v>
      </c>
      <c r="Y99" s="83">
        <f t="shared" si="2"/>
        <v>470994.12</v>
      </c>
    </row>
    <row r="100" spans="2:25" ht="14.25" customHeight="1">
      <c r="B100" s="17" t="s">
        <v>413</v>
      </c>
      <c r="C100" s="8" t="s">
        <v>414</v>
      </c>
      <c r="D100" s="121">
        <v>200000</v>
      </c>
      <c r="E100" s="121">
        <v>200000</v>
      </c>
      <c r="F100" s="121">
        <v>200000</v>
      </c>
      <c r="G100" s="121">
        <v>221880.97</v>
      </c>
      <c r="H100" s="121">
        <v>21880.97</v>
      </c>
      <c r="I100" s="121">
        <v>32642.6</v>
      </c>
      <c r="J100" s="121">
        <v>244486.56</v>
      </c>
      <c r="K100" s="121">
        <v>245000</v>
      </c>
      <c r="L100" s="121">
        <v>362402.8</v>
      </c>
      <c r="M100" s="121">
        <v>270452.5</v>
      </c>
      <c r="N100" s="121">
        <v>238322.42</v>
      </c>
      <c r="O100" s="121">
        <v>245926.91</v>
      </c>
      <c r="P100" s="83">
        <f t="shared" si="0"/>
        <v>246920.02</v>
      </c>
      <c r="Q100" s="121">
        <v>681099.16</v>
      </c>
      <c r="R100" s="121">
        <v>252735.19</v>
      </c>
      <c r="S100" s="121">
        <v>261130.3</v>
      </c>
      <c r="T100" s="83">
        <f t="shared" si="1"/>
        <v>261130.3</v>
      </c>
      <c r="U100" s="121">
        <v>352495.39</v>
      </c>
      <c r="V100" s="121">
        <v>26959.05</v>
      </c>
      <c r="W100" s="121">
        <v>15203.39</v>
      </c>
      <c r="X100" s="121">
        <v>993.11</v>
      </c>
      <c r="Y100" s="83">
        <f t="shared" si="2"/>
        <v>245926.91</v>
      </c>
    </row>
    <row r="101" spans="2:25" ht="14.25" customHeight="1">
      <c r="B101" s="18" t="s">
        <v>415</v>
      </c>
      <c r="C101" s="19" t="s">
        <v>416</v>
      </c>
      <c r="D101" s="121">
        <v>28098876.02</v>
      </c>
      <c r="E101" s="121">
        <v>28475616.28</v>
      </c>
      <c r="F101" s="121">
        <v>13808442.7</v>
      </c>
      <c r="G101" s="121">
        <v>28862611.45</v>
      </c>
      <c r="H101" s="121">
        <v>764712.49</v>
      </c>
      <c r="I101" s="121">
        <v>4045455.86</v>
      </c>
      <c r="J101" s="121">
        <v>6605436.94</v>
      </c>
      <c r="K101" s="121">
        <v>3608441.55</v>
      </c>
      <c r="L101" s="121">
        <v>3991944.52</v>
      </c>
      <c r="M101" s="121">
        <v>6947807.06</v>
      </c>
      <c r="N101" s="121">
        <v>3560125.75</v>
      </c>
      <c r="O101" s="121">
        <v>6135987.98</v>
      </c>
      <c r="P101" s="83">
        <f t="shared" si="0"/>
        <v>6835647.680000001</v>
      </c>
      <c r="Q101" s="121">
        <v>14114891.56</v>
      </c>
      <c r="R101" s="121">
        <v>33257191.18</v>
      </c>
      <c r="S101" s="121">
        <v>6462108.98</v>
      </c>
      <c r="T101" s="83">
        <f t="shared" si="1"/>
        <v>6462108.98</v>
      </c>
      <c r="U101" s="121">
        <v>1412480.59</v>
      </c>
      <c r="V101" s="121">
        <v>1042029.82</v>
      </c>
      <c r="W101" s="121">
        <v>716396.69</v>
      </c>
      <c r="X101" s="121">
        <v>699659.7</v>
      </c>
      <c r="Y101" s="83">
        <f t="shared" si="2"/>
        <v>6135987.98</v>
      </c>
    </row>
    <row r="102" spans="2:25" ht="14.25" customHeight="1">
      <c r="B102" s="17" t="s">
        <v>417</v>
      </c>
      <c r="C102" s="8" t="s">
        <v>418</v>
      </c>
      <c r="D102" s="121">
        <v>0</v>
      </c>
      <c r="E102" s="121">
        <v>0</v>
      </c>
      <c r="F102" s="121">
        <v>0</v>
      </c>
      <c r="G102" s="121">
        <v>0</v>
      </c>
      <c r="H102" s="121">
        <v>0</v>
      </c>
      <c r="I102" s="121">
        <v>0</v>
      </c>
      <c r="J102" s="121">
        <v>0</v>
      </c>
      <c r="K102" s="121">
        <v>0</v>
      </c>
      <c r="L102" s="121">
        <v>0</v>
      </c>
      <c r="M102" s="121">
        <v>0</v>
      </c>
      <c r="N102" s="121">
        <v>0</v>
      </c>
      <c r="O102" s="121">
        <v>0</v>
      </c>
      <c r="P102" s="83">
        <f t="shared" si="0"/>
        <v>0</v>
      </c>
      <c r="Q102" s="121">
        <v>0</v>
      </c>
      <c r="R102" s="121">
        <v>0</v>
      </c>
      <c r="S102" s="121">
        <v>0</v>
      </c>
      <c r="T102" s="83">
        <f t="shared" si="1"/>
        <v>0</v>
      </c>
      <c r="U102" s="121">
        <v>0</v>
      </c>
      <c r="V102" s="121">
        <v>0</v>
      </c>
      <c r="W102" s="121">
        <v>0</v>
      </c>
      <c r="X102" s="121">
        <v>0</v>
      </c>
      <c r="Y102" s="83">
        <f t="shared" si="2"/>
        <v>0</v>
      </c>
    </row>
    <row r="103" spans="2:25" ht="14.25" customHeight="1">
      <c r="B103" s="17" t="s">
        <v>419</v>
      </c>
      <c r="C103" s="8" t="s">
        <v>420</v>
      </c>
      <c r="D103" s="121">
        <v>0</v>
      </c>
      <c r="E103" s="121">
        <v>0</v>
      </c>
      <c r="F103" s="121">
        <v>0</v>
      </c>
      <c r="G103" s="121">
        <v>0</v>
      </c>
      <c r="H103" s="121">
        <v>0</v>
      </c>
      <c r="I103" s="121">
        <v>0</v>
      </c>
      <c r="J103" s="121">
        <v>0</v>
      </c>
      <c r="K103" s="121">
        <v>0</v>
      </c>
      <c r="L103" s="121">
        <v>0</v>
      </c>
      <c r="M103" s="121">
        <v>0</v>
      </c>
      <c r="N103" s="121">
        <v>0</v>
      </c>
      <c r="O103" s="121">
        <v>0</v>
      </c>
      <c r="P103" s="83">
        <f t="shared" si="0"/>
        <v>0</v>
      </c>
      <c r="Q103" s="121">
        <v>0</v>
      </c>
      <c r="R103" s="121">
        <v>0</v>
      </c>
      <c r="S103" s="121">
        <v>0</v>
      </c>
      <c r="T103" s="83">
        <f t="shared" si="1"/>
        <v>0</v>
      </c>
      <c r="U103" s="121">
        <v>0</v>
      </c>
      <c r="V103" s="121">
        <v>0</v>
      </c>
      <c r="W103" s="121">
        <v>0</v>
      </c>
      <c r="X103" s="121">
        <v>0</v>
      </c>
      <c r="Y103" s="83">
        <f t="shared" si="2"/>
        <v>0</v>
      </c>
    </row>
    <row r="104" spans="2:25" ht="14.25" customHeight="1">
      <c r="B104" s="17" t="s">
        <v>421</v>
      </c>
      <c r="C104" s="8" t="s">
        <v>422</v>
      </c>
      <c r="D104" s="121">
        <v>0</v>
      </c>
      <c r="E104" s="121">
        <v>0</v>
      </c>
      <c r="F104" s="121">
        <v>0</v>
      </c>
      <c r="G104" s="121">
        <v>0</v>
      </c>
      <c r="H104" s="121">
        <v>0</v>
      </c>
      <c r="I104" s="121">
        <v>0</v>
      </c>
      <c r="J104" s="121">
        <v>0</v>
      </c>
      <c r="K104" s="121">
        <v>0</v>
      </c>
      <c r="L104" s="121">
        <v>0</v>
      </c>
      <c r="M104" s="121">
        <v>293910.53</v>
      </c>
      <c r="N104" s="121">
        <v>0</v>
      </c>
      <c r="O104" s="121">
        <v>0</v>
      </c>
      <c r="P104" s="83">
        <f t="shared" si="0"/>
        <v>0</v>
      </c>
      <c r="Q104" s="121">
        <v>0</v>
      </c>
      <c r="R104" s="121">
        <v>0</v>
      </c>
      <c r="S104" s="121">
        <v>0</v>
      </c>
      <c r="T104" s="83">
        <f t="shared" si="1"/>
        <v>0</v>
      </c>
      <c r="U104" s="121">
        <v>0</v>
      </c>
      <c r="V104" s="121">
        <v>293910.53</v>
      </c>
      <c r="W104" s="121">
        <v>0</v>
      </c>
      <c r="X104" s="121">
        <v>0</v>
      </c>
      <c r="Y104" s="83">
        <f t="shared" si="2"/>
        <v>0</v>
      </c>
    </row>
    <row r="105" spans="2:25" ht="14.25" customHeight="1">
      <c r="B105" s="17" t="s">
        <v>423</v>
      </c>
      <c r="C105" s="8" t="s">
        <v>424</v>
      </c>
      <c r="D105" s="121">
        <v>0</v>
      </c>
      <c r="E105" s="121">
        <v>0</v>
      </c>
      <c r="F105" s="121">
        <v>0</v>
      </c>
      <c r="G105" s="121">
        <v>0</v>
      </c>
      <c r="H105" s="121">
        <v>0</v>
      </c>
      <c r="I105" s="121">
        <v>0</v>
      </c>
      <c r="J105" s="121">
        <v>0</v>
      </c>
      <c r="K105" s="121">
        <v>0</v>
      </c>
      <c r="L105" s="121">
        <v>0</v>
      </c>
      <c r="M105" s="121">
        <v>0</v>
      </c>
      <c r="N105" s="121">
        <v>0</v>
      </c>
      <c r="O105" s="121">
        <v>0</v>
      </c>
      <c r="P105" s="83">
        <f t="shared" si="0"/>
        <v>0</v>
      </c>
      <c r="Q105" s="121">
        <v>0</v>
      </c>
      <c r="R105" s="121">
        <v>0</v>
      </c>
      <c r="S105" s="121">
        <v>0</v>
      </c>
      <c r="T105" s="83">
        <f t="shared" si="1"/>
        <v>0</v>
      </c>
      <c r="U105" s="121">
        <v>0</v>
      </c>
      <c r="V105" s="121">
        <v>0</v>
      </c>
      <c r="W105" s="121">
        <v>0</v>
      </c>
      <c r="X105" s="121">
        <v>0</v>
      </c>
      <c r="Y105" s="83">
        <f t="shared" si="2"/>
        <v>0</v>
      </c>
    </row>
    <row r="106" spans="2:25" ht="14.25" customHeight="1">
      <c r="B106" s="18" t="s">
        <v>425</v>
      </c>
      <c r="C106" s="19" t="s">
        <v>426</v>
      </c>
      <c r="D106" s="121">
        <v>0</v>
      </c>
      <c r="E106" s="121">
        <v>0</v>
      </c>
      <c r="F106" s="121">
        <v>0</v>
      </c>
      <c r="G106" s="121">
        <v>0</v>
      </c>
      <c r="H106" s="121">
        <v>0</v>
      </c>
      <c r="I106" s="121">
        <v>0</v>
      </c>
      <c r="J106" s="121">
        <v>0</v>
      </c>
      <c r="K106" s="121">
        <v>0</v>
      </c>
      <c r="L106" s="121">
        <v>0</v>
      </c>
      <c r="M106" s="121">
        <v>293910.53</v>
      </c>
      <c r="N106" s="121">
        <v>0</v>
      </c>
      <c r="O106" s="121">
        <v>0</v>
      </c>
      <c r="P106" s="83">
        <f t="shared" si="0"/>
        <v>0</v>
      </c>
      <c r="Q106" s="121">
        <v>0</v>
      </c>
      <c r="R106" s="121">
        <v>0</v>
      </c>
      <c r="S106" s="121">
        <v>0</v>
      </c>
      <c r="T106" s="83">
        <f t="shared" si="1"/>
        <v>0</v>
      </c>
      <c r="U106" s="121">
        <v>0</v>
      </c>
      <c r="V106" s="121">
        <v>293910.53</v>
      </c>
      <c r="W106" s="121">
        <v>0</v>
      </c>
      <c r="X106" s="121">
        <v>0</v>
      </c>
      <c r="Y106" s="83">
        <f t="shared" si="2"/>
        <v>0</v>
      </c>
    </row>
    <row r="107" spans="2:25" ht="14.25" customHeight="1">
      <c r="B107" s="17" t="s">
        <v>427</v>
      </c>
      <c r="C107" s="8" t="s">
        <v>428</v>
      </c>
      <c r="D107" s="121">
        <v>0</v>
      </c>
      <c r="E107" s="121">
        <v>0</v>
      </c>
      <c r="F107" s="121">
        <v>0</v>
      </c>
      <c r="G107" s="121">
        <v>0</v>
      </c>
      <c r="H107" s="121">
        <v>0</v>
      </c>
      <c r="I107" s="121">
        <v>0</v>
      </c>
      <c r="J107" s="121">
        <v>0</v>
      </c>
      <c r="K107" s="121">
        <v>0</v>
      </c>
      <c r="L107" s="121">
        <v>0</v>
      </c>
      <c r="M107" s="121">
        <v>0</v>
      </c>
      <c r="N107" s="121">
        <v>0</v>
      </c>
      <c r="O107" s="121">
        <v>0</v>
      </c>
      <c r="P107" s="83">
        <f t="shared" si="0"/>
        <v>0</v>
      </c>
      <c r="Q107" s="121">
        <v>0</v>
      </c>
      <c r="R107" s="121">
        <v>0</v>
      </c>
      <c r="S107" s="121">
        <v>0</v>
      </c>
      <c r="T107" s="83">
        <f t="shared" si="1"/>
        <v>0</v>
      </c>
      <c r="U107" s="121">
        <v>0</v>
      </c>
      <c r="V107" s="121">
        <v>0</v>
      </c>
      <c r="W107" s="121">
        <v>0</v>
      </c>
      <c r="X107" s="121">
        <v>0</v>
      </c>
      <c r="Y107" s="83">
        <f t="shared" si="2"/>
        <v>0</v>
      </c>
    </row>
    <row r="108" spans="2:25" ht="14.25" customHeight="1">
      <c r="B108" s="17" t="s">
        <v>429</v>
      </c>
      <c r="C108" s="8" t="s">
        <v>430</v>
      </c>
      <c r="D108" s="121">
        <v>0</v>
      </c>
      <c r="E108" s="121">
        <v>0</v>
      </c>
      <c r="F108" s="121">
        <v>0</v>
      </c>
      <c r="G108" s="121">
        <v>0</v>
      </c>
      <c r="H108" s="121">
        <v>0</v>
      </c>
      <c r="I108" s="121">
        <v>0</v>
      </c>
      <c r="J108" s="121">
        <v>0</v>
      </c>
      <c r="K108" s="121">
        <v>0</v>
      </c>
      <c r="L108" s="121">
        <v>0</v>
      </c>
      <c r="M108" s="121">
        <v>0</v>
      </c>
      <c r="N108" s="121">
        <v>0</v>
      </c>
      <c r="O108" s="121">
        <v>0</v>
      </c>
      <c r="P108" s="83">
        <f t="shared" si="0"/>
        <v>0</v>
      </c>
      <c r="Q108" s="121">
        <v>0</v>
      </c>
      <c r="R108" s="121">
        <v>0</v>
      </c>
      <c r="S108" s="121">
        <v>0</v>
      </c>
      <c r="T108" s="83">
        <f t="shared" si="1"/>
        <v>0</v>
      </c>
      <c r="U108" s="121">
        <v>0</v>
      </c>
      <c r="V108" s="121">
        <v>0</v>
      </c>
      <c r="W108" s="121">
        <v>0</v>
      </c>
      <c r="X108" s="121">
        <v>0</v>
      </c>
      <c r="Y108" s="83">
        <f t="shared" si="2"/>
        <v>0</v>
      </c>
    </row>
    <row r="109" spans="2:25" ht="14.25" customHeight="1">
      <c r="B109" s="17" t="s">
        <v>431</v>
      </c>
      <c r="C109" s="8" t="s">
        <v>432</v>
      </c>
      <c r="D109" s="121">
        <v>0</v>
      </c>
      <c r="E109" s="121">
        <v>0</v>
      </c>
      <c r="F109" s="121">
        <v>0</v>
      </c>
      <c r="G109" s="121">
        <v>0</v>
      </c>
      <c r="H109" s="121">
        <v>0</v>
      </c>
      <c r="I109" s="121">
        <v>0</v>
      </c>
      <c r="J109" s="121">
        <v>0</v>
      </c>
      <c r="K109" s="121">
        <v>0</v>
      </c>
      <c r="L109" s="121">
        <v>245716.71</v>
      </c>
      <c r="M109" s="121">
        <v>342734.06</v>
      </c>
      <c r="N109" s="121">
        <v>26952.81</v>
      </c>
      <c r="O109" s="121">
        <v>0</v>
      </c>
      <c r="P109" s="83">
        <f t="shared" si="0"/>
        <v>26952.81</v>
      </c>
      <c r="Q109" s="121">
        <v>765403.58</v>
      </c>
      <c r="R109" s="121">
        <v>369686.87</v>
      </c>
      <c r="S109" s="121">
        <v>26952.81</v>
      </c>
      <c r="T109" s="83">
        <f t="shared" si="1"/>
        <v>26952.81</v>
      </c>
      <c r="U109" s="121">
        <v>615403.58</v>
      </c>
      <c r="V109" s="121">
        <v>369686.87</v>
      </c>
      <c r="W109" s="121">
        <v>26952.81</v>
      </c>
      <c r="X109" s="121">
        <v>26952.81</v>
      </c>
      <c r="Y109" s="83">
        <f t="shared" si="2"/>
        <v>0</v>
      </c>
    </row>
    <row r="110" spans="2:25" ht="14.25" customHeight="1">
      <c r="B110" s="17" t="s">
        <v>433</v>
      </c>
      <c r="C110" s="8" t="s">
        <v>434</v>
      </c>
      <c r="D110" s="121">
        <v>0</v>
      </c>
      <c r="E110" s="121">
        <v>0</v>
      </c>
      <c r="F110" s="121">
        <v>0</v>
      </c>
      <c r="G110" s="121">
        <v>0</v>
      </c>
      <c r="H110" s="121">
        <v>0</v>
      </c>
      <c r="I110" s="121">
        <v>0</v>
      </c>
      <c r="J110" s="121">
        <v>0</v>
      </c>
      <c r="K110" s="121">
        <v>0</v>
      </c>
      <c r="L110" s="121">
        <v>0</v>
      </c>
      <c r="M110" s="121">
        <v>0</v>
      </c>
      <c r="N110" s="121">
        <v>0</v>
      </c>
      <c r="O110" s="121">
        <v>0</v>
      </c>
      <c r="P110" s="83">
        <f t="shared" si="0"/>
        <v>0</v>
      </c>
      <c r="Q110" s="121">
        <v>0</v>
      </c>
      <c r="R110" s="121">
        <v>0</v>
      </c>
      <c r="S110" s="121">
        <v>0</v>
      </c>
      <c r="T110" s="83">
        <f t="shared" si="1"/>
        <v>0</v>
      </c>
      <c r="U110" s="121">
        <v>0</v>
      </c>
      <c r="V110" s="121">
        <v>0</v>
      </c>
      <c r="W110" s="121">
        <v>0</v>
      </c>
      <c r="X110" s="121">
        <v>0</v>
      </c>
      <c r="Y110" s="83">
        <f t="shared" si="2"/>
        <v>0</v>
      </c>
    </row>
    <row r="111" spans="2:25" ht="14.25" customHeight="1">
      <c r="B111" s="18" t="s">
        <v>435</v>
      </c>
      <c r="C111" s="19" t="s">
        <v>436</v>
      </c>
      <c r="D111" s="121">
        <v>0</v>
      </c>
      <c r="E111" s="121">
        <v>0</v>
      </c>
      <c r="F111" s="121">
        <v>0</v>
      </c>
      <c r="G111" s="121">
        <v>0</v>
      </c>
      <c r="H111" s="121">
        <v>0</v>
      </c>
      <c r="I111" s="121">
        <v>0</v>
      </c>
      <c r="J111" s="121">
        <v>0</v>
      </c>
      <c r="K111" s="121">
        <v>0</v>
      </c>
      <c r="L111" s="121">
        <v>245716.71</v>
      </c>
      <c r="M111" s="121">
        <v>342734.06</v>
      </c>
      <c r="N111" s="121">
        <v>26952.81</v>
      </c>
      <c r="O111" s="121">
        <v>0</v>
      </c>
      <c r="P111" s="83">
        <f t="shared" si="0"/>
        <v>26952.81</v>
      </c>
      <c r="Q111" s="121">
        <v>765403.58</v>
      </c>
      <c r="R111" s="121">
        <v>369686.87</v>
      </c>
      <c r="S111" s="121">
        <v>26952.81</v>
      </c>
      <c r="T111" s="83">
        <f t="shared" si="1"/>
        <v>26952.81</v>
      </c>
      <c r="U111" s="121">
        <v>615403.58</v>
      </c>
      <c r="V111" s="121">
        <v>369686.87</v>
      </c>
      <c r="W111" s="121">
        <v>26952.81</v>
      </c>
      <c r="X111" s="121">
        <v>26952.81</v>
      </c>
      <c r="Y111" s="83">
        <f t="shared" si="2"/>
        <v>0</v>
      </c>
    </row>
    <row r="112" spans="2:25" ht="14.25" customHeight="1">
      <c r="B112" s="17" t="s">
        <v>437</v>
      </c>
      <c r="C112" s="8" t="s">
        <v>438</v>
      </c>
      <c r="D112" s="121">
        <v>0</v>
      </c>
      <c r="E112" s="121">
        <v>0</v>
      </c>
      <c r="F112" s="121">
        <v>0</v>
      </c>
      <c r="G112" s="121">
        <v>0</v>
      </c>
      <c r="H112" s="121">
        <v>0</v>
      </c>
      <c r="I112" s="121">
        <v>0</v>
      </c>
      <c r="J112" s="121">
        <v>0</v>
      </c>
      <c r="K112" s="121">
        <v>0</v>
      </c>
      <c r="L112" s="121">
        <v>0</v>
      </c>
      <c r="M112" s="121">
        <v>0</v>
      </c>
      <c r="N112" s="121">
        <v>0</v>
      </c>
      <c r="O112" s="121">
        <v>0</v>
      </c>
      <c r="P112" s="83">
        <f t="shared" si="0"/>
        <v>0</v>
      </c>
      <c r="Q112" s="121">
        <v>0</v>
      </c>
      <c r="R112" s="121">
        <v>0</v>
      </c>
      <c r="S112" s="121">
        <v>0</v>
      </c>
      <c r="T112" s="83">
        <f t="shared" si="1"/>
        <v>0</v>
      </c>
      <c r="U112" s="121">
        <v>0</v>
      </c>
      <c r="V112" s="121">
        <v>0</v>
      </c>
      <c r="W112" s="121">
        <v>0</v>
      </c>
      <c r="X112" s="121">
        <v>0</v>
      </c>
      <c r="Y112" s="83">
        <f t="shared" si="2"/>
        <v>0</v>
      </c>
    </row>
    <row r="113" spans="2:25" ht="14.25" customHeight="1">
      <c r="B113" s="21" t="s">
        <v>439</v>
      </c>
      <c r="C113" s="19" t="s">
        <v>440</v>
      </c>
      <c r="D113" s="121">
        <v>0</v>
      </c>
      <c r="E113" s="121">
        <v>0</v>
      </c>
      <c r="F113" s="121">
        <v>0</v>
      </c>
      <c r="G113" s="121">
        <v>0</v>
      </c>
      <c r="H113" s="121">
        <v>0</v>
      </c>
      <c r="I113" s="121">
        <v>0</v>
      </c>
      <c r="J113" s="121">
        <v>0</v>
      </c>
      <c r="K113" s="121">
        <v>0</v>
      </c>
      <c r="L113" s="121">
        <v>0</v>
      </c>
      <c r="M113" s="121">
        <v>0</v>
      </c>
      <c r="N113" s="121">
        <v>0</v>
      </c>
      <c r="O113" s="121">
        <v>0</v>
      </c>
      <c r="P113" s="83">
        <f t="shared" si="0"/>
        <v>0</v>
      </c>
      <c r="Q113" s="121">
        <v>0</v>
      </c>
      <c r="R113" s="121">
        <v>0</v>
      </c>
      <c r="S113" s="121">
        <v>0</v>
      </c>
      <c r="T113" s="83">
        <f t="shared" si="1"/>
        <v>0</v>
      </c>
      <c r="U113" s="121">
        <v>0</v>
      </c>
      <c r="V113" s="121">
        <v>0</v>
      </c>
      <c r="W113" s="121">
        <v>0</v>
      </c>
      <c r="X113" s="121">
        <v>0</v>
      </c>
      <c r="Y113" s="83">
        <f t="shared" si="2"/>
        <v>0</v>
      </c>
    </row>
    <row r="114" spans="2:25" ht="14.25" customHeight="1">
      <c r="B114" s="17" t="s">
        <v>441</v>
      </c>
      <c r="C114" s="8" t="s">
        <v>442</v>
      </c>
      <c r="D114" s="121">
        <v>3040000</v>
      </c>
      <c r="E114" s="121">
        <v>3040000</v>
      </c>
      <c r="F114" s="121">
        <v>3040000</v>
      </c>
      <c r="G114" s="121">
        <v>3583847.83</v>
      </c>
      <c r="H114" s="121">
        <v>543847.83</v>
      </c>
      <c r="I114" s="121">
        <v>1727620.6</v>
      </c>
      <c r="J114" s="121">
        <v>1734526.31</v>
      </c>
      <c r="K114" s="121">
        <v>2258533.6</v>
      </c>
      <c r="L114" s="121">
        <v>1727620.6</v>
      </c>
      <c r="M114" s="121">
        <v>1734526.31</v>
      </c>
      <c r="N114" s="121">
        <v>1714685.77</v>
      </c>
      <c r="O114" s="121">
        <v>3050000</v>
      </c>
      <c r="P114" s="83">
        <f t="shared" si="0"/>
        <v>3050000</v>
      </c>
      <c r="Q114" s="121">
        <v>2955500</v>
      </c>
      <c r="R114" s="121">
        <v>2890000</v>
      </c>
      <c r="S114" s="121">
        <v>3050000</v>
      </c>
      <c r="T114" s="83">
        <f t="shared" si="1"/>
        <v>3050000</v>
      </c>
      <c r="U114" s="121">
        <v>0</v>
      </c>
      <c r="V114" s="121">
        <v>0</v>
      </c>
      <c r="W114" s="121">
        <v>0</v>
      </c>
      <c r="X114" s="121">
        <v>0</v>
      </c>
      <c r="Y114" s="83">
        <f t="shared" si="2"/>
        <v>3050000</v>
      </c>
    </row>
    <row r="115" spans="2:25" ht="14.25" customHeight="1">
      <c r="B115" s="17" t="s">
        <v>443</v>
      </c>
      <c r="C115" s="8" t="s">
        <v>444</v>
      </c>
      <c r="D115" s="121">
        <v>3463000</v>
      </c>
      <c r="E115" s="121">
        <v>3463000</v>
      </c>
      <c r="F115" s="121">
        <v>3463000</v>
      </c>
      <c r="G115" s="121">
        <v>4474029.06</v>
      </c>
      <c r="H115" s="121">
        <v>1011029.06</v>
      </c>
      <c r="I115" s="121">
        <v>1391099.21</v>
      </c>
      <c r="J115" s="121">
        <v>1848967.43</v>
      </c>
      <c r="K115" s="121">
        <v>2257255.58</v>
      </c>
      <c r="L115" s="121">
        <v>1372306.87</v>
      </c>
      <c r="M115" s="121">
        <v>1808560.9</v>
      </c>
      <c r="N115" s="121">
        <v>1746640.63</v>
      </c>
      <c r="O115" s="121">
        <v>3463000</v>
      </c>
      <c r="P115" s="83">
        <f t="shared" si="0"/>
        <v>3957243.42</v>
      </c>
      <c r="Q115" s="121">
        <v>3898345.55</v>
      </c>
      <c r="R115" s="121">
        <v>3919007.41</v>
      </c>
      <c r="S115" s="121">
        <v>3957413.68</v>
      </c>
      <c r="T115" s="83">
        <f t="shared" si="1"/>
        <v>3957413.68</v>
      </c>
      <c r="U115" s="121">
        <v>437215.07</v>
      </c>
      <c r="V115" s="121">
        <v>453836.89</v>
      </c>
      <c r="W115" s="121">
        <v>494413.68</v>
      </c>
      <c r="X115" s="121">
        <v>494243.42</v>
      </c>
      <c r="Y115" s="83">
        <f t="shared" si="2"/>
        <v>3463000</v>
      </c>
    </row>
    <row r="116" spans="2:25" ht="14.25" customHeight="1">
      <c r="B116" s="18">
        <v>90000</v>
      </c>
      <c r="C116" s="19" t="s">
        <v>445</v>
      </c>
      <c r="D116" s="121">
        <v>6503000</v>
      </c>
      <c r="E116" s="121">
        <v>6503000</v>
      </c>
      <c r="F116" s="121">
        <v>6503000</v>
      </c>
      <c r="G116" s="121">
        <v>8057876.89</v>
      </c>
      <c r="H116" s="121">
        <v>1554876.89</v>
      </c>
      <c r="I116" s="121">
        <v>3118719.81</v>
      </c>
      <c r="J116" s="121">
        <v>3583493.74</v>
      </c>
      <c r="K116" s="121">
        <v>4515789.18</v>
      </c>
      <c r="L116" s="121">
        <v>3099927.47</v>
      </c>
      <c r="M116" s="121">
        <v>3543087.21</v>
      </c>
      <c r="N116" s="121">
        <v>3461326.4</v>
      </c>
      <c r="O116" s="121">
        <v>6513000</v>
      </c>
      <c r="P116" s="83">
        <f t="shared" si="0"/>
        <v>7007243.42</v>
      </c>
      <c r="Q116" s="121">
        <v>6853845.55</v>
      </c>
      <c r="R116" s="121">
        <v>6809007.41</v>
      </c>
      <c r="S116" s="121">
        <v>7007413.68</v>
      </c>
      <c r="T116" s="83">
        <f t="shared" si="1"/>
        <v>7007413.68</v>
      </c>
      <c r="U116" s="121">
        <v>437215.07</v>
      </c>
      <c r="V116" s="121">
        <v>453836.89</v>
      </c>
      <c r="W116" s="121">
        <v>494413.68</v>
      </c>
      <c r="X116" s="121">
        <v>494243.42</v>
      </c>
      <c r="Y116" s="83">
        <f t="shared" si="2"/>
        <v>6513000</v>
      </c>
    </row>
    <row r="117" spans="2:25" ht="15.75" customHeight="1">
      <c r="B117" s="22" t="s">
        <v>446</v>
      </c>
      <c r="C117" s="23" t="s">
        <v>447</v>
      </c>
      <c r="D117" s="41">
        <f>D83+D89+D95+D101+D106+D111+D113+D116</f>
        <v>69940652.96</v>
      </c>
      <c r="E117" s="41">
        <f aca="true" t="shared" si="3" ref="E117:N117">E83+E89+E95+E101+E106+E111+E113+E116</f>
        <v>68852790.85</v>
      </c>
      <c r="F117" s="41">
        <f t="shared" si="3"/>
        <v>54185617.269999996</v>
      </c>
      <c r="G117" s="41">
        <f t="shared" si="3"/>
        <v>92080013.27</v>
      </c>
      <c r="H117" s="41">
        <f t="shared" si="3"/>
        <v>26827208.360000003</v>
      </c>
      <c r="I117" s="41">
        <f t="shared" si="3"/>
        <v>39667658.96</v>
      </c>
      <c r="J117" s="41">
        <f t="shared" si="3"/>
        <v>43050929.94</v>
      </c>
      <c r="K117" s="41">
        <f t="shared" si="3"/>
        <v>37186496.260000005</v>
      </c>
      <c r="L117" s="41">
        <f t="shared" si="3"/>
        <v>38050214.25</v>
      </c>
      <c r="M117" s="41">
        <f t="shared" si="3"/>
        <v>42980880.21000001</v>
      </c>
      <c r="N117" s="41">
        <f t="shared" si="3"/>
        <v>36956484.07</v>
      </c>
      <c r="O117" s="41">
        <f aca="true" t="shared" si="4" ref="O117:Y117">O83+O89+O95+O101+O106+O111+O113+O116</f>
        <v>48045221.47</v>
      </c>
      <c r="P117" s="41">
        <f t="shared" si="4"/>
        <v>74267807.66000001</v>
      </c>
      <c r="Q117" s="41">
        <f t="shared" si="4"/>
        <v>75733487.58</v>
      </c>
      <c r="R117" s="41">
        <f t="shared" si="4"/>
        <v>98059258.91999999</v>
      </c>
      <c r="S117" s="41">
        <f t="shared" si="4"/>
        <v>70570902.94</v>
      </c>
      <c r="T117" s="41">
        <f t="shared" si="4"/>
        <v>70570902.94</v>
      </c>
      <c r="U117" s="41">
        <f t="shared" si="4"/>
        <v>23972895.499999996</v>
      </c>
      <c r="V117" s="41">
        <f t="shared" si="4"/>
        <v>26152536.46</v>
      </c>
      <c r="W117" s="41">
        <f t="shared" si="4"/>
        <v>26468293.17</v>
      </c>
      <c r="X117" s="41">
        <f t="shared" si="4"/>
        <v>26222586.189999998</v>
      </c>
      <c r="Y117" s="41">
        <f t="shared" si="4"/>
        <v>48045221.47</v>
      </c>
    </row>
    <row r="120" spans="1:17" ht="13.5" customHeight="1">
      <c r="A120" s="126" t="s">
        <v>448</v>
      </c>
      <c r="B120" s="126"/>
      <c r="C120" s="126"/>
      <c r="D120" s="126"/>
      <c r="E120" s="126"/>
      <c r="F120" s="126"/>
      <c r="G120" s="126"/>
      <c r="H120" s="126"/>
      <c r="I120" s="126"/>
      <c r="J120" s="126"/>
      <c r="K120" s="126"/>
      <c r="L120" s="126"/>
      <c r="M120" s="126"/>
      <c r="N120" s="126"/>
      <c r="O120" s="126"/>
      <c r="P120" s="126"/>
      <c r="Q120" s="126"/>
    </row>
    <row r="121" spans="1:17" ht="13.5" customHeight="1">
      <c r="A121" s="126"/>
      <c r="B121" s="126"/>
      <c r="C121" s="126"/>
      <c r="D121" s="126"/>
      <c r="E121" s="126"/>
      <c r="F121" s="126"/>
      <c r="G121" s="126"/>
      <c r="H121" s="126"/>
      <c r="I121" s="126"/>
      <c r="J121" s="126"/>
      <c r="K121" s="126"/>
      <c r="L121" s="126"/>
      <c r="M121" s="126"/>
      <c r="N121" s="126"/>
      <c r="O121" s="126"/>
      <c r="P121" s="126"/>
      <c r="Q121" s="126"/>
    </row>
    <row r="122" spans="3:33" ht="14.25" customHeight="1">
      <c r="C122" s="15"/>
      <c r="D122" s="4" t="s">
        <v>219</v>
      </c>
      <c r="E122" s="4" t="s">
        <v>219</v>
      </c>
      <c r="F122" s="4" t="s">
        <v>219</v>
      </c>
      <c r="G122" s="4" t="s">
        <v>219</v>
      </c>
      <c r="H122" s="4" t="s">
        <v>219</v>
      </c>
      <c r="I122" s="4" t="s">
        <v>219</v>
      </c>
      <c r="J122" s="4" t="s">
        <v>219</v>
      </c>
      <c r="K122" s="4" t="s">
        <v>219</v>
      </c>
      <c r="L122" s="5" t="s">
        <v>274</v>
      </c>
      <c r="M122" s="5" t="s">
        <v>449</v>
      </c>
      <c r="N122" s="5" t="s">
        <v>274</v>
      </c>
      <c r="O122" s="5" t="s">
        <v>449</v>
      </c>
      <c r="P122" s="5" t="s">
        <v>274</v>
      </c>
      <c r="Q122" s="5" t="s">
        <v>449</v>
      </c>
      <c r="R122" s="5" t="s">
        <v>274</v>
      </c>
      <c r="S122" s="5" t="s">
        <v>274</v>
      </c>
      <c r="T122" s="5" t="s">
        <v>274</v>
      </c>
      <c r="U122" s="5" t="s">
        <v>274</v>
      </c>
      <c r="V122" s="5" t="s">
        <v>274</v>
      </c>
      <c r="W122" s="5" t="s">
        <v>274</v>
      </c>
      <c r="X122" s="5" t="s">
        <v>219</v>
      </c>
      <c r="AE122" s="5" t="s">
        <v>449</v>
      </c>
      <c r="AF122" s="5" t="s">
        <v>274</v>
      </c>
      <c r="AG122" s="5" t="s">
        <v>274</v>
      </c>
    </row>
    <row r="123" spans="2:33" ht="57" customHeight="1">
      <c r="B123" s="24" t="s">
        <v>450</v>
      </c>
      <c r="C123" s="6" t="s">
        <v>223</v>
      </c>
      <c r="D123" s="11" t="s">
        <v>275</v>
      </c>
      <c r="E123" s="11" t="s">
        <v>451</v>
      </c>
      <c r="F123" s="11" t="s">
        <v>276</v>
      </c>
      <c r="G123" s="11" t="s">
        <v>452</v>
      </c>
      <c r="H123" s="11" t="s">
        <v>277</v>
      </c>
      <c r="I123" s="11" t="s">
        <v>453</v>
      </c>
      <c r="J123" s="11" t="s">
        <v>454</v>
      </c>
      <c r="K123" s="11" t="s">
        <v>371</v>
      </c>
      <c r="L123" s="11" t="s">
        <v>196</v>
      </c>
      <c r="M123" s="11" t="s">
        <v>197</v>
      </c>
      <c r="N123" s="11" t="s">
        <v>198</v>
      </c>
      <c r="O123" s="11" t="s">
        <v>199</v>
      </c>
      <c r="P123" s="11" t="s">
        <v>200</v>
      </c>
      <c r="Q123" s="11" t="s">
        <v>201</v>
      </c>
      <c r="R123" s="11" t="s">
        <v>202</v>
      </c>
      <c r="S123" s="11" t="s">
        <v>203</v>
      </c>
      <c r="T123" s="11" t="s">
        <v>204</v>
      </c>
      <c r="U123" s="11" t="s">
        <v>205</v>
      </c>
      <c r="V123" s="11" t="s">
        <v>206</v>
      </c>
      <c r="W123" s="11" t="s">
        <v>207</v>
      </c>
      <c r="X123" s="11" t="s">
        <v>208</v>
      </c>
      <c r="Y123" s="11" t="s">
        <v>209</v>
      </c>
      <c r="Z123" s="11" t="s">
        <v>187</v>
      </c>
      <c r="AA123" s="11" t="s">
        <v>188</v>
      </c>
      <c r="AB123" s="11" t="s">
        <v>189</v>
      </c>
      <c r="AC123" s="11" t="s">
        <v>210</v>
      </c>
      <c r="AD123" s="11" t="s">
        <v>211</v>
      </c>
      <c r="AE123" s="11" t="s">
        <v>212</v>
      </c>
      <c r="AF123" s="11" t="s">
        <v>213</v>
      </c>
      <c r="AG123" s="11" t="s">
        <v>214</v>
      </c>
    </row>
    <row r="124" spans="2:33" ht="14.25" customHeight="1">
      <c r="B124" s="25" t="s">
        <v>455</v>
      </c>
      <c r="C124" s="26" t="s">
        <v>456</v>
      </c>
      <c r="D124" s="121">
        <v>470655.1</v>
      </c>
      <c r="E124" s="121">
        <v>9446.09</v>
      </c>
      <c r="F124" s="121">
        <v>459487.61</v>
      </c>
      <c r="G124" s="121">
        <v>8297.54</v>
      </c>
      <c r="H124" s="121">
        <v>453677.37</v>
      </c>
      <c r="I124" s="121">
        <v>8297.65</v>
      </c>
      <c r="J124" s="121">
        <v>506497.14</v>
      </c>
      <c r="K124" s="121">
        <v>45288.13</v>
      </c>
      <c r="L124" s="121">
        <v>450422.84</v>
      </c>
      <c r="M124" s="121">
        <v>11666.62</v>
      </c>
      <c r="N124" s="121">
        <v>460175.11</v>
      </c>
      <c r="O124" s="121">
        <v>11307.85</v>
      </c>
      <c r="P124" s="121">
        <v>457985.39</v>
      </c>
      <c r="Q124" s="41">
        <f>IF($D$239=1,(AE124+0),(AD124+0))</f>
        <v>11068.29</v>
      </c>
      <c r="R124" s="121">
        <v>431898.74</v>
      </c>
      <c r="S124" s="121">
        <v>454703.07</v>
      </c>
      <c r="T124" s="121">
        <v>460472.23</v>
      </c>
      <c r="U124" s="121">
        <v>24518.58</v>
      </c>
      <c r="V124" s="121">
        <v>42302.93</v>
      </c>
      <c r="W124" s="41">
        <f>IF($D$239=1,AF124,(AG124+0))</f>
        <v>47774.97</v>
      </c>
      <c r="X124" s="121">
        <v>500576.38</v>
      </c>
      <c r="Y124" s="41">
        <f>IF($D$239=1,P124,(X124-AD124))</f>
        <v>489508.09</v>
      </c>
      <c r="Z124" s="121">
        <v>527733.98</v>
      </c>
      <c r="AA124" s="121">
        <v>531122.66</v>
      </c>
      <c r="AB124" s="121">
        <v>537283.06</v>
      </c>
      <c r="AC124" s="41">
        <f>IF($D$239=1,T124,(AB124+0))</f>
        <v>537283.06</v>
      </c>
      <c r="AD124" s="121">
        <v>11068.29</v>
      </c>
      <c r="AE124" s="121">
        <v>0</v>
      </c>
      <c r="AF124" s="121">
        <v>47774.97</v>
      </c>
      <c r="AG124" s="121">
        <v>47774.97</v>
      </c>
    </row>
    <row r="125" spans="2:33" ht="14.25" customHeight="1">
      <c r="B125" s="25" t="s">
        <v>457</v>
      </c>
      <c r="C125" s="26" t="s">
        <v>458</v>
      </c>
      <c r="D125" s="121">
        <v>688787.52</v>
      </c>
      <c r="E125" s="121">
        <v>31098.42</v>
      </c>
      <c r="F125" s="121">
        <v>727208.59</v>
      </c>
      <c r="G125" s="121">
        <v>29873.55</v>
      </c>
      <c r="H125" s="121">
        <v>707581.26</v>
      </c>
      <c r="I125" s="121">
        <v>29873.55</v>
      </c>
      <c r="J125" s="121">
        <v>689395.23</v>
      </c>
      <c r="K125" s="121">
        <v>31706.13</v>
      </c>
      <c r="L125" s="121">
        <v>682436.72</v>
      </c>
      <c r="M125" s="121">
        <v>41001.17</v>
      </c>
      <c r="N125" s="121">
        <v>672772.05</v>
      </c>
      <c r="O125" s="121">
        <v>39630.89</v>
      </c>
      <c r="P125" s="121">
        <v>646810.45</v>
      </c>
      <c r="Q125" s="41">
        <f aca="true" t="shared" si="5" ref="Q125:Q188">IF($D$239=1,(AE125+0),(AD125+0))</f>
        <v>36543.04</v>
      </c>
      <c r="R125" s="121">
        <v>669405.17</v>
      </c>
      <c r="S125" s="121">
        <v>680677.45</v>
      </c>
      <c r="T125" s="121">
        <v>635959.86</v>
      </c>
      <c r="U125" s="121">
        <v>16511.52</v>
      </c>
      <c r="V125" s="121">
        <v>28760.94</v>
      </c>
      <c r="W125" s="41">
        <f aca="true" t="shared" si="6" ref="W125:W188">IF($D$239=1,AF125,(AG125+0))</f>
        <v>20855.54</v>
      </c>
      <c r="X125" s="121">
        <v>732255.58</v>
      </c>
      <c r="Y125" s="41">
        <f>IF($D$239=1,P125,(X125-AD125))</f>
        <v>695712.5399999999</v>
      </c>
      <c r="Z125" s="121">
        <v>861561.64</v>
      </c>
      <c r="AA125" s="121">
        <v>730655.51</v>
      </c>
      <c r="AB125" s="121">
        <v>716568.08</v>
      </c>
      <c r="AC125" s="41">
        <f aca="true" t="shared" si="7" ref="AC125:AC188">IF($D$239=1,T125,(AB125+0))</f>
        <v>716568.08</v>
      </c>
      <c r="AD125" s="121">
        <v>36543.04</v>
      </c>
      <c r="AE125" s="121">
        <v>0</v>
      </c>
      <c r="AF125" s="121">
        <v>20855.54</v>
      </c>
      <c r="AG125" s="121">
        <v>20855.54</v>
      </c>
    </row>
    <row r="126" spans="2:33" ht="14.25" customHeight="1">
      <c r="B126" s="25" t="s">
        <v>459</v>
      </c>
      <c r="C126" s="26" t="s">
        <v>460</v>
      </c>
      <c r="D126" s="121">
        <v>2724012.98</v>
      </c>
      <c r="E126" s="121">
        <v>36232.45</v>
      </c>
      <c r="F126" s="121">
        <v>2762148.2</v>
      </c>
      <c r="G126" s="121">
        <v>35163.77</v>
      </c>
      <c r="H126" s="121">
        <v>2735170.39</v>
      </c>
      <c r="I126" s="121">
        <v>35163.77</v>
      </c>
      <c r="J126" s="121">
        <v>3124744.15</v>
      </c>
      <c r="K126" s="121">
        <v>436963.62</v>
      </c>
      <c r="L126" s="121">
        <v>951017.62</v>
      </c>
      <c r="M126" s="121">
        <v>31706.13</v>
      </c>
      <c r="N126" s="121">
        <v>1055009.92</v>
      </c>
      <c r="O126" s="121">
        <v>31178.68</v>
      </c>
      <c r="P126" s="121">
        <v>1561399.39</v>
      </c>
      <c r="Q126" s="41">
        <f t="shared" si="5"/>
        <v>27935.49</v>
      </c>
      <c r="R126" s="121">
        <v>899520.74</v>
      </c>
      <c r="S126" s="121">
        <v>1116788.4</v>
      </c>
      <c r="T126" s="121">
        <v>1166248.55</v>
      </c>
      <c r="U126" s="121">
        <v>52205.98</v>
      </c>
      <c r="V126" s="121">
        <v>103591.26</v>
      </c>
      <c r="W126" s="41">
        <f t="shared" si="6"/>
        <v>41812.78</v>
      </c>
      <c r="X126" s="121">
        <v>2625578.93</v>
      </c>
      <c r="Y126" s="41">
        <f aca="true" t="shared" si="8" ref="Y126:Y189">IF($D$239=1,P126,(X126-AD126))</f>
        <v>2597643.44</v>
      </c>
      <c r="Z126" s="121">
        <v>1523484.43</v>
      </c>
      <c r="AA126" s="121">
        <v>2703961.74</v>
      </c>
      <c r="AB126" s="121">
        <v>2639456.22</v>
      </c>
      <c r="AC126" s="41">
        <f t="shared" si="7"/>
        <v>2639456.22</v>
      </c>
      <c r="AD126" s="121">
        <v>27935.49</v>
      </c>
      <c r="AE126" s="121">
        <v>0</v>
      </c>
      <c r="AF126" s="121">
        <v>41812.78</v>
      </c>
      <c r="AG126" s="121">
        <v>41812.78</v>
      </c>
    </row>
    <row r="127" spans="2:33" ht="14.25" customHeight="1">
      <c r="B127" s="25" t="s">
        <v>461</v>
      </c>
      <c r="C127" s="26" t="s">
        <v>462</v>
      </c>
      <c r="D127" s="121">
        <v>493531.21</v>
      </c>
      <c r="E127" s="121">
        <v>71827.45</v>
      </c>
      <c r="F127" s="121">
        <v>481774.6</v>
      </c>
      <c r="G127" s="121">
        <v>10374.61</v>
      </c>
      <c r="H127" s="121">
        <v>420321.76</v>
      </c>
      <c r="I127" s="121">
        <v>10374.61</v>
      </c>
      <c r="J127" s="121">
        <v>675000.08</v>
      </c>
      <c r="K127" s="121">
        <v>253296.32</v>
      </c>
      <c r="L127" s="121">
        <v>386300.13</v>
      </c>
      <c r="M127" s="121">
        <v>18068.39</v>
      </c>
      <c r="N127" s="121">
        <v>471061.47</v>
      </c>
      <c r="O127" s="121">
        <v>15753.59</v>
      </c>
      <c r="P127" s="121">
        <v>427665.95</v>
      </c>
      <c r="Q127" s="41">
        <f t="shared" si="5"/>
        <v>15472.74</v>
      </c>
      <c r="R127" s="121">
        <v>486924.3</v>
      </c>
      <c r="S127" s="121">
        <v>415568.18</v>
      </c>
      <c r="T127" s="121">
        <v>461909.38</v>
      </c>
      <c r="U127" s="121">
        <v>332670.63</v>
      </c>
      <c r="V127" s="121">
        <v>232046.46</v>
      </c>
      <c r="W127" s="41">
        <f t="shared" si="6"/>
        <v>287539.75</v>
      </c>
      <c r="X127" s="121">
        <v>468067.64</v>
      </c>
      <c r="Y127" s="41">
        <f t="shared" si="8"/>
        <v>452594.9</v>
      </c>
      <c r="Z127" s="121">
        <v>1201885.48</v>
      </c>
      <c r="AA127" s="121">
        <v>749183.56</v>
      </c>
      <c r="AB127" s="121">
        <v>740134.65</v>
      </c>
      <c r="AC127" s="41">
        <f t="shared" si="7"/>
        <v>740134.65</v>
      </c>
      <c r="AD127" s="121">
        <v>15472.74</v>
      </c>
      <c r="AE127" s="121">
        <v>0</v>
      </c>
      <c r="AF127" s="121">
        <v>287539.75</v>
      </c>
      <c r="AG127" s="121">
        <v>287539.75</v>
      </c>
    </row>
    <row r="128" spans="2:33" ht="14.25" customHeight="1">
      <c r="B128" s="25" t="s">
        <v>463</v>
      </c>
      <c r="C128" s="26" t="s">
        <v>464</v>
      </c>
      <c r="D128" s="121">
        <v>710638.96</v>
      </c>
      <c r="E128" s="121">
        <v>7660.38</v>
      </c>
      <c r="F128" s="121">
        <v>701563.19</v>
      </c>
      <c r="G128" s="121">
        <v>5870.24</v>
      </c>
      <c r="H128" s="121">
        <v>699773.05</v>
      </c>
      <c r="I128" s="121">
        <v>5870.24</v>
      </c>
      <c r="J128" s="121">
        <v>876840.62</v>
      </c>
      <c r="K128" s="121">
        <v>173862.04</v>
      </c>
      <c r="L128" s="121">
        <v>345736.28</v>
      </c>
      <c r="M128" s="121">
        <v>8232.09</v>
      </c>
      <c r="N128" s="121">
        <v>518327.58</v>
      </c>
      <c r="O128" s="121">
        <v>135804.98</v>
      </c>
      <c r="P128" s="121">
        <v>656173.66</v>
      </c>
      <c r="Q128" s="41">
        <f t="shared" si="5"/>
        <v>8457.44</v>
      </c>
      <c r="R128" s="121">
        <v>399843.89</v>
      </c>
      <c r="S128" s="121">
        <v>640489.29</v>
      </c>
      <c r="T128" s="121">
        <v>510591.89</v>
      </c>
      <c r="U128" s="121">
        <v>220326.65</v>
      </c>
      <c r="V128" s="121">
        <v>150441.98</v>
      </c>
      <c r="W128" s="41">
        <f t="shared" si="6"/>
        <v>28280.27</v>
      </c>
      <c r="X128" s="121">
        <v>887958.94</v>
      </c>
      <c r="Y128" s="41">
        <f t="shared" si="8"/>
        <v>879501.5</v>
      </c>
      <c r="Z128" s="121">
        <v>1061724.96</v>
      </c>
      <c r="AA128" s="121">
        <v>979843.49</v>
      </c>
      <c r="AB128" s="121">
        <v>907781.77</v>
      </c>
      <c r="AC128" s="41">
        <f t="shared" si="7"/>
        <v>907781.77</v>
      </c>
      <c r="AD128" s="121">
        <v>8457.44</v>
      </c>
      <c r="AE128" s="121">
        <v>0</v>
      </c>
      <c r="AF128" s="121">
        <v>28280.27</v>
      </c>
      <c r="AG128" s="121">
        <v>28280.27</v>
      </c>
    </row>
    <row r="129" spans="2:33" ht="14.25" customHeight="1">
      <c r="B129" s="25" t="s">
        <v>465</v>
      </c>
      <c r="C129" s="26" t="s">
        <v>466</v>
      </c>
      <c r="D129" s="121">
        <v>1000376.06</v>
      </c>
      <c r="E129" s="121">
        <v>41090.6</v>
      </c>
      <c r="F129" s="121">
        <v>1040197.79</v>
      </c>
      <c r="G129" s="121">
        <v>39144.52</v>
      </c>
      <c r="H129" s="121">
        <v>1038251.71</v>
      </c>
      <c r="I129" s="121">
        <v>39144.52</v>
      </c>
      <c r="J129" s="121">
        <v>1143598.9</v>
      </c>
      <c r="K129" s="121">
        <v>184313.44</v>
      </c>
      <c r="L129" s="121">
        <v>942875.58</v>
      </c>
      <c r="M129" s="121">
        <v>70939.67</v>
      </c>
      <c r="N129" s="121">
        <v>1223944.32</v>
      </c>
      <c r="O129" s="121">
        <v>45432.08</v>
      </c>
      <c r="P129" s="121">
        <v>1209626.34</v>
      </c>
      <c r="Q129" s="41">
        <f t="shared" si="5"/>
        <v>45088.32</v>
      </c>
      <c r="R129" s="121">
        <v>814857.07</v>
      </c>
      <c r="S129" s="121">
        <v>887361.79</v>
      </c>
      <c r="T129" s="121">
        <v>1669252.62</v>
      </c>
      <c r="U129" s="121">
        <v>183228.63</v>
      </c>
      <c r="V129" s="121">
        <v>307357.19</v>
      </c>
      <c r="W129" s="41">
        <f t="shared" si="6"/>
        <v>643939.72</v>
      </c>
      <c r="X129" s="121">
        <v>1586853.91</v>
      </c>
      <c r="Y129" s="41">
        <f t="shared" si="8"/>
        <v>1541765.5899999999</v>
      </c>
      <c r="Z129" s="121">
        <v>1300604.87</v>
      </c>
      <c r="AA129" s="121">
        <v>2019080.04</v>
      </c>
      <c r="AB129" s="121">
        <v>2185705.31</v>
      </c>
      <c r="AC129" s="41">
        <f t="shared" si="7"/>
        <v>2185705.31</v>
      </c>
      <c r="AD129" s="121">
        <v>45088.32</v>
      </c>
      <c r="AE129" s="121">
        <v>0</v>
      </c>
      <c r="AF129" s="121">
        <v>643939.72</v>
      </c>
      <c r="AG129" s="121">
        <v>643939.72</v>
      </c>
    </row>
    <row r="130" spans="2:33" ht="14.25" customHeight="1">
      <c r="B130" s="25" t="s">
        <v>467</v>
      </c>
      <c r="C130" s="26" t="s">
        <v>468</v>
      </c>
      <c r="D130" s="121">
        <v>664988.65</v>
      </c>
      <c r="E130" s="121">
        <v>16351.06</v>
      </c>
      <c r="F130" s="121">
        <v>486325.24</v>
      </c>
      <c r="G130" s="121">
        <v>15170.11</v>
      </c>
      <c r="H130" s="121">
        <v>485144.29</v>
      </c>
      <c r="I130" s="121">
        <v>15170.11</v>
      </c>
      <c r="J130" s="121">
        <v>699659.84</v>
      </c>
      <c r="K130" s="121">
        <v>51022.25</v>
      </c>
      <c r="L130" s="121">
        <v>327817.4</v>
      </c>
      <c r="M130" s="121">
        <v>22793.24</v>
      </c>
      <c r="N130" s="121">
        <v>443983.38</v>
      </c>
      <c r="O130" s="121">
        <v>20658.97</v>
      </c>
      <c r="P130" s="121">
        <v>385369.19</v>
      </c>
      <c r="Q130" s="41">
        <f t="shared" si="5"/>
        <v>19683.25</v>
      </c>
      <c r="R130" s="121">
        <v>333597.21</v>
      </c>
      <c r="S130" s="121">
        <v>425066.13</v>
      </c>
      <c r="T130" s="121">
        <v>360203.21</v>
      </c>
      <c r="U130" s="121">
        <v>12718.84</v>
      </c>
      <c r="V130" s="121">
        <v>6939.02</v>
      </c>
      <c r="W130" s="41">
        <f t="shared" si="6"/>
        <v>25856.27</v>
      </c>
      <c r="X130" s="121">
        <v>558453.72</v>
      </c>
      <c r="Y130" s="41">
        <f t="shared" si="8"/>
        <v>538770.47</v>
      </c>
      <c r="Z130" s="121">
        <v>363276.85</v>
      </c>
      <c r="AA130" s="121">
        <v>529310.5</v>
      </c>
      <c r="AB130" s="121">
        <v>564626.74</v>
      </c>
      <c r="AC130" s="41">
        <f t="shared" si="7"/>
        <v>564626.74</v>
      </c>
      <c r="AD130" s="121">
        <v>19683.25</v>
      </c>
      <c r="AE130" s="121">
        <v>0</v>
      </c>
      <c r="AF130" s="121">
        <v>25856.27</v>
      </c>
      <c r="AG130" s="121">
        <v>25856.27</v>
      </c>
    </row>
    <row r="131" spans="2:33" ht="14.25" customHeight="1">
      <c r="B131" s="25" t="s">
        <v>469</v>
      </c>
      <c r="C131" s="26" t="s">
        <v>470</v>
      </c>
      <c r="D131" s="121">
        <v>123013.19</v>
      </c>
      <c r="E131" s="121">
        <v>4871.76</v>
      </c>
      <c r="F131" s="121">
        <v>118086.3</v>
      </c>
      <c r="G131" s="121">
        <v>4675.09</v>
      </c>
      <c r="H131" s="121">
        <v>117889.63</v>
      </c>
      <c r="I131" s="121">
        <v>4675.09</v>
      </c>
      <c r="J131" s="121">
        <v>129054.08</v>
      </c>
      <c r="K131" s="121">
        <v>10912.65</v>
      </c>
      <c r="L131" s="121">
        <v>1038219.35</v>
      </c>
      <c r="M131" s="121">
        <v>5864.73</v>
      </c>
      <c r="N131" s="121">
        <v>77074.3</v>
      </c>
      <c r="O131" s="121">
        <v>4806.45</v>
      </c>
      <c r="P131" s="121">
        <v>88384.56</v>
      </c>
      <c r="Q131" s="41">
        <f t="shared" si="5"/>
        <v>0</v>
      </c>
      <c r="R131" s="121">
        <v>1057104.8</v>
      </c>
      <c r="S131" s="121">
        <v>99310.47</v>
      </c>
      <c r="T131" s="121">
        <v>83089.36</v>
      </c>
      <c r="U131" s="121">
        <v>49507.45</v>
      </c>
      <c r="V131" s="121">
        <v>27853.62</v>
      </c>
      <c r="W131" s="41">
        <f t="shared" si="6"/>
        <v>0</v>
      </c>
      <c r="X131" s="121">
        <v>129318.86</v>
      </c>
      <c r="Y131" s="41">
        <f t="shared" si="8"/>
        <v>129318.86</v>
      </c>
      <c r="Z131" s="121">
        <v>1336688.33</v>
      </c>
      <c r="AA131" s="121">
        <v>131578.52</v>
      </c>
      <c r="AB131" s="121">
        <v>130215.9</v>
      </c>
      <c r="AC131" s="41">
        <f t="shared" si="7"/>
        <v>130215.9</v>
      </c>
      <c r="AD131" s="121">
        <v>0</v>
      </c>
      <c r="AE131" s="121">
        <v>0</v>
      </c>
      <c r="AF131" s="121">
        <v>5617.45</v>
      </c>
      <c r="AG131" s="121">
        <v>0</v>
      </c>
    </row>
    <row r="132" spans="2:33" ht="14.25" customHeight="1">
      <c r="B132" s="25" t="s">
        <v>471</v>
      </c>
      <c r="C132" s="26" t="s">
        <v>472</v>
      </c>
      <c r="D132" s="121">
        <v>0</v>
      </c>
      <c r="E132" s="121">
        <v>0</v>
      </c>
      <c r="F132" s="121">
        <v>0</v>
      </c>
      <c r="G132" s="121">
        <v>0</v>
      </c>
      <c r="H132" s="121">
        <v>0</v>
      </c>
      <c r="I132" s="121">
        <v>0</v>
      </c>
      <c r="J132" s="121">
        <v>0</v>
      </c>
      <c r="K132" s="121">
        <v>0</v>
      </c>
      <c r="L132" s="121">
        <v>0</v>
      </c>
      <c r="M132" s="121">
        <v>0</v>
      </c>
      <c r="N132" s="121">
        <v>0</v>
      </c>
      <c r="O132" s="121">
        <v>0</v>
      </c>
      <c r="P132" s="121">
        <v>0</v>
      </c>
      <c r="Q132" s="41">
        <f t="shared" si="5"/>
        <v>0</v>
      </c>
      <c r="R132" s="121">
        <v>0</v>
      </c>
      <c r="S132" s="121">
        <v>0</v>
      </c>
      <c r="T132" s="121">
        <v>0</v>
      </c>
      <c r="U132" s="121">
        <v>0</v>
      </c>
      <c r="V132" s="121">
        <v>0</v>
      </c>
      <c r="W132" s="41">
        <f t="shared" si="6"/>
        <v>0</v>
      </c>
      <c r="X132" s="121">
        <v>0</v>
      </c>
      <c r="Y132" s="41">
        <f t="shared" si="8"/>
        <v>0</v>
      </c>
      <c r="Z132" s="121">
        <v>0</v>
      </c>
      <c r="AA132" s="121">
        <v>0</v>
      </c>
      <c r="AB132" s="121">
        <v>0</v>
      </c>
      <c r="AC132" s="41">
        <f t="shared" si="7"/>
        <v>0</v>
      </c>
      <c r="AD132" s="121">
        <v>0</v>
      </c>
      <c r="AE132" s="121">
        <v>0</v>
      </c>
      <c r="AF132" s="121">
        <v>0</v>
      </c>
      <c r="AG132" s="121">
        <v>0</v>
      </c>
    </row>
    <row r="133" spans="2:33" ht="14.25" customHeight="1">
      <c r="B133" s="25" t="s">
        <v>473</v>
      </c>
      <c r="C133" s="26" t="s">
        <v>474</v>
      </c>
      <c r="D133" s="121">
        <v>136160.89</v>
      </c>
      <c r="E133" s="121">
        <v>7853.07</v>
      </c>
      <c r="F133" s="121">
        <v>142452.11</v>
      </c>
      <c r="G133" s="121">
        <v>7561.16</v>
      </c>
      <c r="H133" s="121">
        <v>142160.2</v>
      </c>
      <c r="I133" s="121">
        <v>7561.16</v>
      </c>
      <c r="J133" s="121">
        <v>154182.6</v>
      </c>
      <c r="K133" s="121">
        <v>25874.78</v>
      </c>
      <c r="L133" s="121">
        <v>167823</v>
      </c>
      <c r="M133" s="121">
        <v>16948.69</v>
      </c>
      <c r="N133" s="121">
        <v>181489.85</v>
      </c>
      <c r="O133" s="121">
        <v>13372.34</v>
      </c>
      <c r="P133" s="121">
        <v>236906.11</v>
      </c>
      <c r="Q133" s="41">
        <f t="shared" si="5"/>
        <v>13132.84</v>
      </c>
      <c r="R133" s="121">
        <v>167953.69</v>
      </c>
      <c r="S133" s="121">
        <v>182484.21</v>
      </c>
      <c r="T133" s="121">
        <v>213348.5</v>
      </c>
      <c r="U133" s="121">
        <v>3442.22</v>
      </c>
      <c r="V133" s="121">
        <v>3311.53</v>
      </c>
      <c r="W133" s="41">
        <f t="shared" si="6"/>
        <v>2317.17</v>
      </c>
      <c r="X133" s="121">
        <v>257652.98</v>
      </c>
      <c r="Y133" s="41">
        <f t="shared" si="8"/>
        <v>244520.14</v>
      </c>
      <c r="Z133" s="121">
        <v>224079.02</v>
      </c>
      <c r="AA133" s="121">
        <v>195996.72</v>
      </c>
      <c r="AB133" s="121">
        <v>246837.31</v>
      </c>
      <c r="AC133" s="41">
        <f t="shared" si="7"/>
        <v>246837.31</v>
      </c>
      <c r="AD133" s="121">
        <v>13132.84</v>
      </c>
      <c r="AE133" s="121">
        <v>0</v>
      </c>
      <c r="AF133" s="121">
        <v>2317.17</v>
      </c>
      <c r="AG133" s="121">
        <v>2317.17</v>
      </c>
    </row>
    <row r="134" spans="2:33" ht="14.25" customHeight="1">
      <c r="B134" s="25" t="s">
        <v>475</v>
      </c>
      <c r="C134" s="26" t="s">
        <v>476</v>
      </c>
      <c r="D134" s="121">
        <v>1440949.1</v>
      </c>
      <c r="E134" s="121">
        <v>6890.05</v>
      </c>
      <c r="F134" s="121">
        <v>1057946.38</v>
      </c>
      <c r="G134" s="121">
        <v>6797.29</v>
      </c>
      <c r="H134" s="121">
        <v>1057853.62</v>
      </c>
      <c r="I134" s="121">
        <v>6797.29</v>
      </c>
      <c r="J134" s="121">
        <v>1786182.54</v>
      </c>
      <c r="K134" s="121">
        <v>412539.32</v>
      </c>
      <c r="L134" s="121">
        <v>1455318.05</v>
      </c>
      <c r="M134" s="121">
        <v>46179.88</v>
      </c>
      <c r="N134" s="121">
        <v>1211263.69</v>
      </c>
      <c r="O134" s="121">
        <v>80057.51</v>
      </c>
      <c r="P134" s="121">
        <v>1259175.85</v>
      </c>
      <c r="Q134" s="41">
        <f t="shared" si="5"/>
        <v>5783.73</v>
      </c>
      <c r="R134" s="121">
        <v>1656751.14</v>
      </c>
      <c r="S134" s="121">
        <v>1301509.75</v>
      </c>
      <c r="T134" s="121">
        <v>1057174.65</v>
      </c>
      <c r="U134" s="121">
        <v>540019.91</v>
      </c>
      <c r="V134" s="121">
        <v>300949.25</v>
      </c>
      <c r="W134" s="41">
        <f t="shared" si="6"/>
        <v>210703.19</v>
      </c>
      <c r="X134" s="121">
        <v>1783631.2</v>
      </c>
      <c r="Y134" s="41">
        <f t="shared" si="8"/>
        <v>1777847.47</v>
      </c>
      <c r="Z134" s="121">
        <v>3013999.03</v>
      </c>
      <c r="AA134" s="121">
        <v>2040208.85</v>
      </c>
      <c r="AB134" s="121">
        <v>1988550.66</v>
      </c>
      <c r="AC134" s="41">
        <f t="shared" si="7"/>
        <v>1988550.66</v>
      </c>
      <c r="AD134" s="121">
        <v>5783.73</v>
      </c>
      <c r="AE134" s="121">
        <v>0</v>
      </c>
      <c r="AF134" s="121">
        <v>210675.72</v>
      </c>
      <c r="AG134" s="121">
        <v>210703.19</v>
      </c>
    </row>
    <row r="135" spans="2:33" ht="14.25" customHeight="1">
      <c r="B135" s="27" t="s">
        <v>477</v>
      </c>
      <c r="C135" s="28" t="s">
        <v>478</v>
      </c>
      <c r="D135" s="121">
        <v>8453113.66</v>
      </c>
      <c r="E135" s="121">
        <v>233321.33</v>
      </c>
      <c r="F135" s="121">
        <v>7977190.01</v>
      </c>
      <c r="G135" s="121">
        <v>162927.88</v>
      </c>
      <c r="H135" s="121">
        <v>7857823.28</v>
      </c>
      <c r="I135" s="121">
        <v>162927.99</v>
      </c>
      <c r="J135" s="121">
        <v>9785155.18</v>
      </c>
      <c r="K135" s="121">
        <v>1625778.68</v>
      </c>
      <c r="L135" s="121">
        <v>6747966.97</v>
      </c>
      <c r="M135" s="121">
        <v>273400.61</v>
      </c>
      <c r="N135" s="121">
        <v>6315101.67</v>
      </c>
      <c r="O135" s="121">
        <v>398003.34</v>
      </c>
      <c r="P135" s="121">
        <v>6929496.89</v>
      </c>
      <c r="Q135" s="41">
        <f t="shared" si="5"/>
        <v>187885.55</v>
      </c>
      <c r="R135" s="121">
        <v>6917856.75</v>
      </c>
      <c r="S135" s="121">
        <v>6203958.74</v>
      </c>
      <c r="T135" s="121">
        <v>6618250.25</v>
      </c>
      <c r="U135" s="121">
        <v>1435150.41</v>
      </c>
      <c r="V135" s="121">
        <v>1203554.18</v>
      </c>
      <c r="W135" s="41">
        <f t="shared" si="6"/>
        <v>1314697.11</v>
      </c>
      <c r="X135" s="121">
        <v>9530348.14</v>
      </c>
      <c r="Y135" s="41">
        <f t="shared" si="8"/>
        <v>9342462.59</v>
      </c>
      <c r="Z135" s="121">
        <v>11415038.59</v>
      </c>
      <c r="AA135" s="121">
        <v>10610941.59</v>
      </c>
      <c r="AB135" s="121">
        <v>10657159.7</v>
      </c>
      <c r="AC135" s="41">
        <f t="shared" si="7"/>
        <v>10657159.7</v>
      </c>
      <c r="AD135" s="121">
        <v>187885.55</v>
      </c>
      <c r="AE135" s="121">
        <v>0</v>
      </c>
      <c r="AF135" s="121">
        <v>1314669.64</v>
      </c>
      <c r="AG135" s="121">
        <v>1314697.11</v>
      </c>
    </row>
    <row r="136" spans="2:33" ht="14.25" customHeight="1">
      <c r="B136" s="25" t="s">
        <v>479</v>
      </c>
      <c r="C136" s="26" t="s">
        <v>480</v>
      </c>
      <c r="D136" s="121">
        <v>240</v>
      </c>
      <c r="E136" s="121">
        <v>0</v>
      </c>
      <c r="F136" s="121">
        <v>240</v>
      </c>
      <c r="G136" s="121">
        <v>0</v>
      </c>
      <c r="H136" s="121">
        <v>240</v>
      </c>
      <c r="I136" s="121">
        <v>0</v>
      </c>
      <c r="J136" s="121">
        <v>240</v>
      </c>
      <c r="K136" s="121">
        <v>0</v>
      </c>
      <c r="L136" s="121">
        <v>2982.88</v>
      </c>
      <c r="M136" s="121">
        <v>0</v>
      </c>
      <c r="N136" s="121">
        <v>0</v>
      </c>
      <c r="O136" s="121">
        <v>0</v>
      </c>
      <c r="P136" s="121">
        <v>240</v>
      </c>
      <c r="Q136" s="41">
        <f t="shared" si="5"/>
        <v>0</v>
      </c>
      <c r="R136" s="121">
        <v>38985.87</v>
      </c>
      <c r="S136" s="121">
        <v>0</v>
      </c>
      <c r="T136" s="121">
        <v>240</v>
      </c>
      <c r="U136" s="121">
        <v>36002.99</v>
      </c>
      <c r="V136" s="121">
        <v>0</v>
      </c>
      <c r="W136" s="41">
        <f t="shared" si="6"/>
        <v>0</v>
      </c>
      <c r="X136" s="121">
        <v>240</v>
      </c>
      <c r="Y136" s="41">
        <f t="shared" si="8"/>
        <v>240</v>
      </c>
      <c r="Z136" s="121">
        <v>74339.8</v>
      </c>
      <c r="AA136" s="121">
        <v>240</v>
      </c>
      <c r="AB136" s="121">
        <v>240</v>
      </c>
      <c r="AC136" s="41">
        <f t="shared" si="7"/>
        <v>240</v>
      </c>
      <c r="AD136" s="121">
        <v>0</v>
      </c>
      <c r="AE136" s="121">
        <v>0</v>
      </c>
      <c r="AF136" s="121">
        <v>0</v>
      </c>
      <c r="AG136" s="121">
        <v>0</v>
      </c>
    </row>
    <row r="137" spans="2:33" ht="14.25" customHeight="1">
      <c r="B137" s="25" t="s">
        <v>481</v>
      </c>
      <c r="C137" s="26" t="s">
        <v>482</v>
      </c>
      <c r="D137" s="121">
        <v>0</v>
      </c>
      <c r="E137" s="121">
        <v>0</v>
      </c>
      <c r="F137" s="121">
        <v>0</v>
      </c>
      <c r="G137" s="121">
        <v>0</v>
      </c>
      <c r="H137" s="121">
        <v>0</v>
      </c>
      <c r="I137" s="121">
        <v>0</v>
      </c>
      <c r="J137" s="121">
        <v>0</v>
      </c>
      <c r="K137" s="121">
        <v>0</v>
      </c>
      <c r="L137" s="121">
        <v>0</v>
      </c>
      <c r="M137" s="121">
        <v>0</v>
      </c>
      <c r="N137" s="121">
        <v>0</v>
      </c>
      <c r="O137" s="121">
        <v>0</v>
      </c>
      <c r="P137" s="121">
        <v>0</v>
      </c>
      <c r="Q137" s="41">
        <f t="shared" si="5"/>
        <v>0</v>
      </c>
      <c r="R137" s="121">
        <v>0</v>
      </c>
      <c r="S137" s="121">
        <v>0</v>
      </c>
      <c r="T137" s="121">
        <v>0</v>
      </c>
      <c r="U137" s="121">
        <v>0</v>
      </c>
      <c r="V137" s="121">
        <v>0</v>
      </c>
      <c r="W137" s="41">
        <f t="shared" si="6"/>
        <v>0</v>
      </c>
      <c r="X137" s="121">
        <v>0</v>
      </c>
      <c r="Y137" s="41">
        <f t="shared" si="8"/>
        <v>0</v>
      </c>
      <c r="Z137" s="121">
        <v>0</v>
      </c>
      <c r="AA137" s="121">
        <v>0</v>
      </c>
      <c r="AB137" s="121">
        <v>0</v>
      </c>
      <c r="AC137" s="41">
        <f t="shared" si="7"/>
        <v>0</v>
      </c>
      <c r="AD137" s="121">
        <v>0</v>
      </c>
      <c r="AE137" s="121">
        <v>0</v>
      </c>
      <c r="AF137" s="121">
        <v>0</v>
      </c>
      <c r="AG137" s="121">
        <v>0</v>
      </c>
    </row>
    <row r="138" spans="2:33" ht="14.25" customHeight="1">
      <c r="B138" s="27" t="s">
        <v>483</v>
      </c>
      <c r="C138" s="28" t="s">
        <v>484</v>
      </c>
      <c r="D138" s="121">
        <v>240</v>
      </c>
      <c r="E138" s="121">
        <v>0</v>
      </c>
      <c r="F138" s="121">
        <v>240</v>
      </c>
      <c r="G138" s="121">
        <v>0</v>
      </c>
      <c r="H138" s="121">
        <v>240</v>
      </c>
      <c r="I138" s="121">
        <v>0</v>
      </c>
      <c r="J138" s="121">
        <v>240</v>
      </c>
      <c r="K138" s="121">
        <v>0</v>
      </c>
      <c r="L138" s="121">
        <v>2982.88</v>
      </c>
      <c r="M138" s="121">
        <v>0</v>
      </c>
      <c r="N138" s="121">
        <v>0</v>
      </c>
      <c r="O138" s="121">
        <v>0</v>
      </c>
      <c r="P138" s="121">
        <v>240</v>
      </c>
      <c r="Q138" s="41">
        <f t="shared" si="5"/>
        <v>0</v>
      </c>
      <c r="R138" s="121">
        <v>38985.87</v>
      </c>
      <c r="S138" s="121">
        <v>0</v>
      </c>
      <c r="T138" s="121">
        <v>240</v>
      </c>
      <c r="U138" s="121">
        <v>36002.99</v>
      </c>
      <c r="V138" s="121">
        <v>0</v>
      </c>
      <c r="W138" s="41">
        <f t="shared" si="6"/>
        <v>0</v>
      </c>
      <c r="X138" s="121">
        <v>240</v>
      </c>
      <c r="Y138" s="41">
        <f t="shared" si="8"/>
        <v>240</v>
      </c>
      <c r="Z138" s="121">
        <v>74339.8</v>
      </c>
      <c r="AA138" s="121">
        <v>240</v>
      </c>
      <c r="AB138" s="121">
        <v>240</v>
      </c>
      <c r="AC138" s="41">
        <f t="shared" si="7"/>
        <v>240</v>
      </c>
      <c r="AD138" s="121">
        <v>0</v>
      </c>
      <c r="AE138" s="121">
        <v>0</v>
      </c>
      <c r="AF138" s="121">
        <v>0</v>
      </c>
      <c r="AG138" s="121">
        <v>0</v>
      </c>
    </row>
    <row r="139" spans="2:33" ht="14.25" customHeight="1">
      <c r="B139" s="25" t="s">
        <v>485</v>
      </c>
      <c r="C139" s="26" t="s">
        <v>486</v>
      </c>
      <c r="D139" s="121">
        <v>1328996.49</v>
      </c>
      <c r="E139" s="121">
        <v>47425.38</v>
      </c>
      <c r="F139" s="121">
        <v>1367493.23</v>
      </c>
      <c r="G139" s="121">
        <v>32173.14</v>
      </c>
      <c r="H139" s="121">
        <v>1346611.45</v>
      </c>
      <c r="I139" s="121">
        <v>32173.14</v>
      </c>
      <c r="J139" s="121">
        <v>1471332.61</v>
      </c>
      <c r="K139" s="121">
        <v>189761.5</v>
      </c>
      <c r="L139" s="121">
        <v>1323054.28</v>
      </c>
      <c r="M139" s="121">
        <v>56409.28</v>
      </c>
      <c r="N139" s="121">
        <v>1216368.53</v>
      </c>
      <c r="O139" s="121">
        <v>116864.87</v>
      </c>
      <c r="P139" s="121">
        <v>1331906.5</v>
      </c>
      <c r="Q139" s="41">
        <f t="shared" si="5"/>
        <v>45168.27</v>
      </c>
      <c r="R139" s="121">
        <v>1308849.81</v>
      </c>
      <c r="S139" s="121">
        <v>1296653.93</v>
      </c>
      <c r="T139" s="121">
        <v>1289415.95</v>
      </c>
      <c r="U139" s="121">
        <v>229399.84</v>
      </c>
      <c r="V139" s="121">
        <v>227556.35</v>
      </c>
      <c r="W139" s="41">
        <f t="shared" si="6"/>
        <v>147270.95</v>
      </c>
      <c r="X139" s="121">
        <v>1431626.1</v>
      </c>
      <c r="Y139" s="41">
        <f t="shared" si="8"/>
        <v>1386457.83</v>
      </c>
      <c r="Z139" s="121">
        <v>1724865.45</v>
      </c>
      <c r="AA139" s="121">
        <v>1598618.34</v>
      </c>
      <c r="AB139" s="121">
        <v>1533728.78</v>
      </c>
      <c r="AC139" s="41">
        <f t="shared" si="7"/>
        <v>1533728.78</v>
      </c>
      <c r="AD139" s="121">
        <v>45168.27</v>
      </c>
      <c r="AE139" s="121">
        <v>0</v>
      </c>
      <c r="AF139" s="121">
        <v>147270.95</v>
      </c>
      <c r="AG139" s="121">
        <v>147270.95</v>
      </c>
    </row>
    <row r="140" spans="2:33" ht="14.25" customHeight="1">
      <c r="B140" s="25" t="s">
        <v>487</v>
      </c>
      <c r="C140" s="26" t="s">
        <v>488</v>
      </c>
      <c r="D140" s="121">
        <v>0</v>
      </c>
      <c r="E140" s="121">
        <v>0</v>
      </c>
      <c r="F140" s="121">
        <v>0</v>
      </c>
      <c r="G140" s="121">
        <v>0</v>
      </c>
      <c r="H140" s="121">
        <v>0</v>
      </c>
      <c r="I140" s="121">
        <v>0</v>
      </c>
      <c r="J140" s="121">
        <v>0</v>
      </c>
      <c r="K140" s="121">
        <v>0</v>
      </c>
      <c r="L140" s="121">
        <v>0</v>
      </c>
      <c r="M140" s="121">
        <v>0</v>
      </c>
      <c r="N140" s="121">
        <v>0</v>
      </c>
      <c r="O140" s="121">
        <v>0</v>
      </c>
      <c r="P140" s="121">
        <v>0</v>
      </c>
      <c r="Q140" s="41">
        <f t="shared" si="5"/>
        <v>0</v>
      </c>
      <c r="R140" s="121">
        <v>0</v>
      </c>
      <c r="S140" s="121">
        <v>0</v>
      </c>
      <c r="T140" s="121">
        <v>0</v>
      </c>
      <c r="U140" s="121">
        <v>0</v>
      </c>
      <c r="V140" s="121">
        <v>0</v>
      </c>
      <c r="W140" s="41">
        <f t="shared" si="6"/>
        <v>0</v>
      </c>
      <c r="X140" s="121">
        <v>0</v>
      </c>
      <c r="Y140" s="41">
        <f t="shared" si="8"/>
        <v>0</v>
      </c>
      <c r="Z140" s="121">
        <v>0</v>
      </c>
      <c r="AA140" s="121">
        <v>0</v>
      </c>
      <c r="AB140" s="121">
        <v>0</v>
      </c>
      <c r="AC140" s="41">
        <f t="shared" si="7"/>
        <v>0</v>
      </c>
      <c r="AD140" s="121">
        <v>0</v>
      </c>
      <c r="AE140" s="121">
        <v>0</v>
      </c>
      <c r="AF140" s="121">
        <v>0</v>
      </c>
      <c r="AG140" s="121">
        <v>0</v>
      </c>
    </row>
    <row r="141" spans="2:33" ht="14.25" customHeight="1">
      <c r="B141" s="27" t="s">
        <v>489</v>
      </c>
      <c r="C141" s="28" t="s">
        <v>490</v>
      </c>
      <c r="D141" s="121">
        <v>1328996.49</v>
      </c>
      <c r="E141" s="121">
        <v>47425.38</v>
      </c>
      <c r="F141" s="121">
        <v>1367493.23</v>
      </c>
      <c r="G141" s="121">
        <v>32173.14</v>
      </c>
      <c r="H141" s="121">
        <v>1346611.45</v>
      </c>
      <c r="I141" s="121">
        <v>32173.14</v>
      </c>
      <c r="J141" s="121">
        <v>1471332.61</v>
      </c>
      <c r="K141" s="121">
        <v>189761.5</v>
      </c>
      <c r="L141" s="121">
        <v>1323054.28</v>
      </c>
      <c r="M141" s="121">
        <v>56409.28</v>
      </c>
      <c r="N141" s="121">
        <v>1216368.53</v>
      </c>
      <c r="O141" s="121">
        <v>116864.87</v>
      </c>
      <c r="P141" s="121">
        <v>1331906.5</v>
      </c>
      <c r="Q141" s="41">
        <f t="shared" si="5"/>
        <v>45168.27</v>
      </c>
      <c r="R141" s="121">
        <v>1308849.81</v>
      </c>
      <c r="S141" s="121">
        <v>1296653.93</v>
      </c>
      <c r="T141" s="121">
        <v>1289415.95</v>
      </c>
      <c r="U141" s="121">
        <v>229399.84</v>
      </c>
      <c r="V141" s="121">
        <v>227556.35</v>
      </c>
      <c r="W141" s="41">
        <f t="shared" si="6"/>
        <v>147270.95</v>
      </c>
      <c r="X141" s="121">
        <v>1431626.1</v>
      </c>
      <c r="Y141" s="41">
        <f t="shared" si="8"/>
        <v>1386457.83</v>
      </c>
      <c r="Z141" s="121">
        <v>1724865.45</v>
      </c>
      <c r="AA141" s="121">
        <v>1598618.34</v>
      </c>
      <c r="AB141" s="121">
        <v>1533728.78</v>
      </c>
      <c r="AC141" s="41">
        <f t="shared" si="7"/>
        <v>1533728.78</v>
      </c>
      <c r="AD141" s="121">
        <v>45168.27</v>
      </c>
      <c r="AE141" s="121">
        <v>0</v>
      </c>
      <c r="AF141" s="121">
        <v>147270.95</v>
      </c>
      <c r="AG141" s="121">
        <v>147270.95</v>
      </c>
    </row>
    <row r="142" spans="2:33" ht="14.25" customHeight="1">
      <c r="B142" s="25" t="s">
        <v>491</v>
      </c>
      <c r="C142" s="26" t="s">
        <v>492</v>
      </c>
      <c r="D142" s="121">
        <v>859555.02</v>
      </c>
      <c r="E142" s="121">
        <v>0</v>
      </c>
      <c r="F142" s="121">
        <v>309032.84</v>
      </c>
      <c r="G142" s="121">
        <v>0</v>
      </c>
      <c r="H142" s="121">
        <v>264736.88</v>
      </c>
      <c r="I142" s="121">
        <v>0</v>
      </c>
      <c r="J142" s="121">
        <v>947517.42</v>
      </c>
      <c r="K142" s="121">
        <v>87962.4</v>
      </c>
      <c r="L142" s="121">
        <v>320039.4</v>
      </c>
      <c r="M142" s="121">
        <v>0</v>
      </c>
      <c r="N142" s="121">
        <v>272382.34</v>
      </c>
      <c r="O142" s="121">
        <v>48000</v>
      </c>
      <c r="P142" s="121">
        <v>387285.4</v>
      </c>
      <c r="Q142" s="41">
        <f t="shared" si="5"/>
        <v>0</v>
      </c>
      <c r="R142" s="121">
        <v>309803.09</v>
      </c>
      <c r="S142" s="121">
        <v>303411.05</v>
      </c>
      <c r="T142" s="121">
        <v>353141.94</v>
      </c>
      <c r="U142" s="121">
        <v>88471.82</v>
      </c>
      <c r="V142" s="121">
        <v>84847.65</v>
      </c>
      <c r="W142" s="41">
        <f t="shared" si="6"/>
        <v>53818.94</v>
      </c>
      <c r="X142" s="121">
        <v>481451.99</v>
      </c>
      <c r="Y142" s="41">
        <f t="shared" si="8"/>
        <v>481451.99</v>
      </c>
      <c r="Z142" s="121">
        <v>598588.48</v>
      </c>
      <c r="AA142" s="121">
        <v>594232.75</v>
      </c>
      <c r="AB142" s="121">
        <v>535270.93</v>
      </c>
      <c r="AC142" s="41">
        <f t="shared" si="7"/>
        <v>535270.93</v>
      </c>
      <c r="AD142" s="121">
        <v>0</v>
      </c>
      <c r="AE142" s="121">
        <v>0</v>
      </c>
      <c r="AF142" s="121">
        <v>53818.94</v>
      </c>
      <c r="AG142" s="121">
        <v>53818.94</v>
      </c>
    </row>
    <row r="143" spans="2:33" ht="14.25" customHeight="1">
      <c r="B143" s="25" t="s">
        <v>108</v>
      </c>
      <c r="C143" s="26" t="s">
        <v>493</v>
      </c>
      <c r="D143" s="121">
        <v>3210027.35</v>
      </c>
      <c r="E143" s="121">
        <v>0</v>
      </c>
      <c r="F143" s="121">
        <v>448844.62</v>
      </c>
      <c r="G143" s="121">
        <v>0</v>
      </c>
      <c r="H143" s="121">
        <v>448790.15</v>
      </c>
      <c r="I143" s="121">
        <v>0</v>
      </c>
      <c r="J143" s="121">
        <v>3392577.15</v>
      </c>
      <c r="K143" s="121">
        <v>182549.8</v>
      </c>
      <c r="L143" s="121">
        <v>714768.41</v>
      </c>
      <c r="M143" s="121">
        <v>63000</v>
      </c>
      <c r="N143" s="121">
        <v>840587.98</v>
      </c>
      <c r="O143" s="121">
        <v>104966.15</v>
      </c>
      <c r="P143" s="121">
        <v>690344.66</v>
      </c>
      <c r="Q143" s="41">
        <f t="shared" si="5"/>
        <v>0</v>
      </c>
      <c r="R143" s="121">
        <v>486779.47</v>
      </c>
      <c r="S143" s="121">
        <v>978487.82</v>
      </c>
      <c r="T143" s="121">
        <v>704950.39</v>
      </c>
      <c r="U143" s="121">
        <v>120053.45</v>
      </c>
      <c r="V143" s="121">
        <v>335055.37</v>
      </c>
      <c r="W143" s="41">
        <f t="shared" si="6"/>
        <v>197155.53</v>
      </c>
      <c r="X143" s="121">
        <v>712740.13</v>
      </c>
      <c r="Y143" s="41">
        <f t="shared" si="8"/>
        <v>712740.13</v>
      </c>
      <c r="Z143" s="121">
        <v>3634075.9</v>
      </c>
      <c r="AA143" s="121">
        <v>3749755.98</v>
      </c>
      <c r="AB143" s="121">
        <v>909895.66</v>
      </c>
      <c r="AC143" s="41">
        <f t="shared" si="7"/>
        <v>909895.66</v>
      </c>
      <c r="AD143" s="121">
        <v>0</v>
      </c>
      <c r="AE143" s="121">
        <v>0</v>
      </c>
      <c r="AF143" s="121">
        <v>197155.53</v>
      </c>
      <c r="AG143" s="121">
        <v>197155.53</v>
      </c>
    </row>
    <row r="144" spans="2:33" ht="14.25" customHeight="1">
      <c r="B144" s="25" t="s">
        <v>494</v>
      </c>
      <c r="C144" s="26" t="s">
        <v>495</v>
      </c>
      <c r="D144" s="121">
        <v>30000</v>
      </c>
      <c r="E144" s="121">
        <v>0</v>
      </c>
      <c r="F144" s="121">
        <v>30000</v>
      </c>
      <c r="G144" s="121">
        <v>0</v>
      </c>
      <c r="H144" s="121">
        <v>30000</v>
      </c>
      <c r="I144" s="121">
        <v>0</v>
      </c>
      <c r="J144" s="121">
        <v>30000</v>
      </c>
      <c r="K144" s="121">
        <v>0</v>
      </c>
      <c r="L144" s="121">
        <v>30000</v>
      </c>
      <c r="M144" s="121">
        <v>0</v>
      </c>
      <c r="N144" s="121">
        <v>0</v>
      </c>
      <c r="O144" s="121">
        <v>0</v>
      </c>
      <c r="P144" s="121">
        <v>37500</v>
      </c>
      <c r="Q144" s="41">
        <f t="shared" si="5"/>
        <v>0</v>
      </c>
      <c r="R144" s="121">
        <v>0</v>
      </c>
      <c r="S144" s="121">
        <v>30000</v>
      </c>
      <c r="T144" s="121">
        <v>37500</v>
      </c>
      <c r="U144" s="121">
        <v>0</v>
      </c>
      <c r="V144" s="121">
        <v>30000</v>
      </c>
      <c r="W144" s="41">
        <f t="shared" si="6"/>
        <v>0</v>
      </c>
      <c r="X144" s="121">
        <v>37500</v>
      </c>
      <c r="Y144" s="41">
        <f t="shared" si="8"/>
        <v>37500</v>
      </c>
      <c r="Z144" s="121">
        <v>30000</v>
      </c>
      <c r="AA144" s="121">
        <v>60000</v>
      </c>
      <c r="AB144" s="121">
        <v>37500</v>
      </c>
      <c r="AC144" s="41">
        <f t="shared" si="7"/>
        <v>37500</v>
      </c>
      <c r="AD144" s="121">
        <v>0</v>
      </c>
      <c r="AE144" s="121">
        <v>0</v>
      </c>
      <c r="AF144" s="121">
        <v>0</v>
      </c>
      <c r="AG144" s="121">
        <v>0</v>
      </c>
    </row>
    <row r="145" spans="2:33" ht="14.25" customHeight="1">
      <c r="B145" s="25" t="s">
        <v>496</v>
      </c>
      <c r="C145" s="26" t="s">
        <v>497</v>
      </c>
      <c r="D145" s="121">
        <v>0</v>
      </c>
      <c r="E145" s="121">
        <v>0</v>
      </c>
      <c r="F145" s="121">
        <v>0</v>
      </c>
      <c r="G145" s="121">
        <v>0</v>
      </c>
      <c r="H145" s="121">
        <v>0</v>
      </c>
      <c r="I145" s="121">
        <v>0</v>
      </c>
      <c r="J145" s="121">
        <v>0</v>
      </c>
      <c r="K145" s="121">
        <v>0</v>
      </c>
      <c r="L145" s="121">
        <v>0</v>
      </c>
      <c r="M145" s="121">
        <v>0</v>
      </c>
      <c r="N145" s="121">
        <v>0</v>
      </c>
      <c r="O145" s="121">
        <v>0</v>
      </c>
      <c r="P145" s="121">
        <v>0</v>
      </c>
      <c r="Q145" s="41">
        <f t="shared" si="5"/>
        <v>0</v>
      </c>
      <c r="R145" s="121">
        <v>0</v>
      </c>
      <c r="S145" s="121">
        <v>0</v>
      </c>
      <c r="T145" s="121">
        <v>0</v>
      </c>
      <c r="U145" s="121">
        <v>0</v>
      </c>
      <c r="V145" s="121">
        <v>0</v>
      </c>
      <c r="W145" s="41">
        <f t="shared" si="6"/>
        <v>0</v>
      </c>
      <c r="X145" s="121">
        <v>0</v>
      </c>
      <c r="Y145" s="41">
        <f t="shared" si="8"/>
        <v>0</v>
      </c>
      <c r="Z145" s="121">
        <v>0</v>
      </c>
      <c r="AA145" s="121">
        <v>0</v>
      </c>
      <c r="AB145" s="121">
        <v>0</v>
      </c>
      <c r="AC145" s="41">
        <f t="shared" si="7"/>
        <v>0</v>
      </c>
      <c r="AD145" s="121">
        <v>0</v>
      </c>
      <c r="AE145" s="121">
        <v>0</v>
      </c>
      <c r="AF145" s="121">
        <v>0</v>
      </c>
      <c r="AG145" s="121">
        <v>0</v>
      </c>
    </row>
    <row r="146" spans="2:33" ht="14.25" customHeight="1">
      <c r="B146" s="25" t="s">
        <v>498</v>
      </c>
      <c r="C146" s="26" t="s">
        <v>499</v>
      </c>
      <c r="D146" s="121">
        <v>376890.99</v>
      </c>
      <c r="E146" s="121">
        <v>2975.45</v>
      </c>
      <c r="F146" s="121">
        <v>381598.93</v>
      </c>
      <c r="G146" s="121">
        <v>2793.3</v>
      </c>
      <c r="H146" s="121">
        <v>381416.78</v>
      </c>
      <c r="I146" s="121">
        <v>2793.3</v>
      </c>
      <c r="J146" s="121">
        <v>419239.09</v>
      </c>
      <c r="K146" s="121">
        <v>45323.55</v>
      </c>
      <c r="L146" s="121">
        <v>385963.7</v>
      </c>
      <c r="M146" s="121">
        <v>4569.14</v>
      </c>
      <c r="N146" s="121">
        <v>338364.8</v>
      </c>
      <c r="O146" s="121">
        <v>3567.2</v>
      </c>
      <c r="P146" s="121">
        <v>389262.5</v>
      </c>
      <c r="Q146" s="41">
        <f t="shared" si="5"/>
        <v>3502.32</v>
      </c>
      <c r="R146" s="121">
        <v>349270.7</v>
      </c>
      <c r="S146" s="121">
        <v>400418.07</v>
      </c>
      <c r="T146" s="121">
        <v>369746.32</v>
      </c>
      <c r="U146" s="121">
        <v>51636.08</v>
      </c>
      <c r="V146" s="121">
        <v>87860.64</v>
      </c>
      <c r="W146" s="41">
        <f t="shared" si="6"/>
        <v>25807.37</v>
      </c>
      <c r="X146" s="121">
        <v>427160.06</v>
      </c>
      <c r="Y146" s="41">
        <f t="shared" si="8"/>
        <v>423657.74</v>
      </c>
      <c r="Z146" s="121">
        <v>469565.46</v>
      </c>
      <c r="AA146" s="121">
        <v>457191.65</v>
      </c>
      <c r="AB146" s="121">
        <v>449465.11</v>
      </c>
      <c r="AC146" s="41">
        <f t="shared" si="7"/>
        <v>449465.11</v>
      </c>
      <c r="AD146" s="121">
        <v>3502.32</v>
      </c>
      <c r="AE146" s="121">
        <v>0</v>
      </c>
      <c r="AF146" s="121">
        <v>25807.37</v>
      </c>
      <c r="AG146" s="121">
        <v>25807.37</v>
      </c>
    </row>
    <row r="147" spans="2:33" ht="14.25" customHeight="1">
      <c r="B147" s="25" t="s">
        <v>500</v>
      </c>
      <c r="C147" s="26" t="s">
        <v>501</v>
      </c>
      <c r="D147" s="121">
        <v>106466</v>
      </c>
      <c r="E147" s="121">
        <v>0</v>
      </c>
      <c r="F147" s="121">
        <v>106466</v>
      </c>
      <c r="G147" s="121">
        <v>0</v>
      </c>
      <c r="H147" s="121">
        <v>106466</v>
      </c>
      <c r="I147" s="121">
        <v>0</v>
      </c>
      <c r="J147" s="121">
        <v>142520.27</v>
      </c>
      <c r="K147" s="121">
        <v>36054.27</v>
      </c>
      <c r="L147" s="121">
        <v>151613.82</v>
      </c>
      <c r="M147" s="121">
        <v>0</v>
      </c>
      <c r="N147" s="121">
        <v>12092.18</v>
      </c>
      <c r="O147" s="121">
        <v>0</v>
      </c>
      <c r="P147" s="121">
        <v>106032</v>
      </c>
      <c r="Q147" s="41">
        <f t="shared" si="5"/>
        <v>0</v>
      </c>
      <c r="R147" s="121">
        <v>74787.89</v>
      </c>
      <c r="S147" s="121">
        <v>73568</v>
      </c>
      <c r="T147" s="121">
        <v>82880.51</v>
      </c>
      <c r="U147" s="121">
        <v>38269.62</v>
      </c>
      <c r="V147" s="121">
        <v>74378.6</v>
      </c>
      <c r="W147" s="41">
        <f t="shared" si="6"/>
        <v>12902.78</v>
      </c>
      <c r="X147" s="121">
        <v>146680.16</v>
      </c>
      <c r="Y147" s="41">
        <f t="shared" si="8"/>
        <v>146680.16</v>
      </c>
      <c r="Z147" s="121">
        <v>201107.53</v>
      </c>
      <c r="AA147" s="121">
        <v>222501.71</v>
      </c>
      <c r="AB147" s="121">
        <v>159582.94</v>
      </c>
      <c r="AC147" s="41">
        <f t="shared" si="7"/>
        <v>159582.94</v>
      </c>
      <c r="AD147" s="121">
        <v>0</v>
      </c>
      <c r="AE147" s="121">
        <v>0</v>
      </c>
      <c r="AF147" s="121">
        <v>12902.78</v>
      </c>
      <c r="AG147" s="121">
        <v>12902.78</v>
      </c>
    </row>
    <row r="148" spans="2:33" ht="14.25" customHeight="1">
      <c r="B148" s="27" t="s">
        <v>502</v>
      </c>
      <c r="C148" s="28" t="s">
        <v>503</v>
      </c>
      <c r="D148" s="121">
        <v>4582939.36</v>
      </c>
      <c r="E148" s="121">
        <v>2975.45</v>
      </c>
      <c r="F148" s="121">
        <v>1275942.39</v>
      </c>
      <c r="G148" s="121">
        <v>2793.3</v>
      </c>
      <c r="H148" s="121">
        <v>1231409.81</v>
      </c>
      <c r="I148" s="121">
        <v>2793.3</v>
      </c>
      <c r="J148" s="121">
        <v>4931853.93</v>
      </c>
      <c r="K148" s="121">
        <v>351890.02</v>
      </c>
      <c r="L148" s="121">
        <v>1602385.33</v>
      </c>
      <c r="M148" s="121">
        <v>67569.14</v>
      </c>
      <c r="N148" s="121">
        <v>1463427.3</v>
      </c>
      <c r="O148" s="121">
        <v>156533.35</v>
      </c>
      <c r="P148" s="121">
        <v>1610424.56</v>
      </c>
      <c r="Q148" s="41">
        <f t="shared" si="5"/>
        <v>3502.32</v>
      </c>
      <c r="R148" s="121">
        <v>1220641.15</v>
      </c>
      <c r="S148" s="121">
        <v>1785884.94</v>
      </c>
      <c r="T148" s="121">
        <v>1548219.16</v>
      </c>
      <c r="U148" s="121">
        <v>298430.97</v>
      </c>
      <c r="V148" s="121">
        <v>612142.26</v>
      </c>
      <c r="W148" s="41">
        <f t="shared" si="6"/>
        <v>289684.62</v>
      </c>
      <c r="X148" s="121">
        <v>1805532.34</v>
      </c>
      <c r="Y148" s="41">
        <f t="shared" si="8"/>
        <v>1802030.02</v>
      </c>
      <c r="Z148" s="121">
        <v>4933337.37</v>
      </c>
      <c r="AA148" s="121">
        <v>5083682.09</v>
      </c>
      <c r="AB148" s="121">
        <v>2091714.64</v>
      </c>
      <c r="AC148" s="41">
        <f t="shared" si="7"/>
        <v>2091714.64</v>
      </c>
      <c r="AD148" s="121">
        <v>3502.32</v>
      </c>
      <c r="AE148" s="121">
        <v>0</v>
      </c>
      <c r="AF148" s="121">
        <v>289684.62</v>
      </c>
      <c r="AG148" s="121">
        <v>289684.62</v>
      </c>
    </row>
    <row r="149" spans="2:33" ht="14.25" customHeight="1">
      <c r="B149" s="25" t="s">
        <v>504</v>
      </c>
      <c r="C149" s="26" t="s">
        <v>505</v>
      </c>
      <c r="D149" s="121">
        <v>0</v>
      </c>
      <c r="E149" s="121">
        <v>0</v>
      </c>
      <c r="F149" s="121">
        <v>0</v>
      </c>
      <c r="G149" s="121">
        <v>0</v>
      </c>
      <c r="H149" s="121">
        <v>0</v>
      </c>
      <c r="I149" s="121">
        <v>0</v>
      </c>
      <c r="J149" s="121">
        <v>0</v>
      </c>
      <c r="K149" s="121">
        <v>0</v>
      </c>
      <c r="L149" s="121">
        <v>0</v>
      </c>
      <c r="M149" s="121">
        <v>0</v>
      </c>
      <c r="N149" s="121">
        <v>0</v>
      </c>
      <c r="O149" s="121">
        <v>0</v>
      </c>
      <c r="P149" s="121">
        <v>9470</v>
      </c>
      <c r="Q149" s="41">
        <f t="shared" si="5"/>
        <v>0</v>
      </c>
      <c r="R149" s="121">
        <v>69803.55</v>
      </c>
      <c r="S149" s="121">
        <v>21.76</v>
      </c>
      <c r="T149" s="121">
        <v>9470</v>
      </c>
      <c r="U149" s="121">
        <v>69825.31</v>
      </c>
      <c r="V149" s="121">
        <v>21.76</v>
      </c>
      <c r="W149" s="41">
        <f t="shared" si="6"/>
        <v>0</v>
      </c>
      <c r="X149" s="121">
        <v>9470</v>
      </c>
      <c r="Y149" s="41">
        <f t="shared" si="8"/>
        <v>9470</v>
      </c>
      <c r="Z149" s="121">
        <v>79275.13</v>
      </c>
      <c r="AA149" s="121">
        <v>9493.34</v>
      </c>
      <c r="AB149" s="121">
        <v>9470</v>
      </c>
      <c r="AC149" s="41">
        <f t="shared" si="7"/>
        <v>9470</v>
      </c>
      <c r="AD149" s="121">
        <v>0</v>
      </c>
      <c r="AE149" s="121">
        <v>0</v>
      </c>
      <c r="AF149" s="121">
        <v>0</v>
      </c>
      <c r="AG149" s="121">
        <v>0</v>
      </c>
    </row>
    <row r="150" spans="2:33" ht="14.25" customHeight="1">
      <c r="B150" s="25" t="s">
        <v>506</v>
      </c>
      <c r="C150" s="26" t="s">
        <v>507</v>
      </c>
      <c r="D150" s="121">
        <v>684630.23</v>
      </c>
      <c r="E150" s="121">
        <v>11016.6</v>
      </c>
      <c r="F150" s="121">
        <v>502643.21</v>
      </c>
      <c r="G150" s="121">
        <v>10545.33</v>
      </c>
      <c r="H150" s="121">
        <v>472893.06</v>
      </c>
      <c r="I150" s="121">
        <v>10545.33</v>
      </c>
      <c r="J150" s="121">
        <v>1000996.78</v>
      </c>
      <c r="K150" s="121">
        <v>327383.15</v>
      </c>
      <c r="L150" s="121">
        <v>601525.4</v>
      </c>
      <c r="M150" s="121">
        <v>58037.87</v>
      </c>
      <c r="N150" s="121">
        <v>564574.65</v>
      </c>
      <c r="O150" s="121">
        <v>386049.4</v>
      </c>
      <c r="P150" s="121">
        <v>843817.41</v>
      </c>
      <c r="Q150" s="41">
        <f t="shared" si="5"/>
        <v>11311.19</v>
      </c>
      <c r="R150" s="121">
        <v>587951.79</v>
      </c>
      <c r="S150" s="121">
        <v>552556.41</v>
      </c>
      <c r="T150" s="121">
        <v>632775.58</v>
      </c>
      <c r="U150" s="121">
        <v>102200.78</v>
      </c>
      <c r="V150" s="121">
        <v>104323.08</v>
      </c>
      <c r="W150" s="41">
        <f t="shared" si="6"/>
        <v>116341.32</v>
      </c>
      <c r="X150" s="121">
        <v>908001.91</v>
      </c>
      <c r="Y150" s="41">
        <f t="shared" si="8"/>
        <v>896690.7200000001</v>
      </c>
      <c r="Z150" s="121">
        <v>990184.63</v>
      </c>
      <c r="AA150" s="121">
        <v>866837.75</v>
      </c>
      <c r="AB150" s="121">
        <v>1013032.04</v>
      </c>
      <c r="AC150" s="41">
        <f t="shared" si="7"/>
        <v>1013032.04</v>
      </c>
      <c r="AD150" s="121">
        <v>11311.19</v>
      </c>
      <c r="AE150" s="121">
        <v>0</v>
      </c>
      <c r="AF150" s="121">
        <v>116341.32</v>
      </c>
      <c r="AG150" s="121">
        <v>116341.32</v>
      </c>
    </row>
    <row r="151" spans="2:33" ht="14.25" customHeight="1">
      <c r="B151" s="27" t="s">
        <v>508</v>
      </c>
      <c r="C151" s="28" t="s">
        <v>509</v>
      </c>
      <c r="D151" s="121">
        <v>684630.23</v>
      </c>
      <c r="E151" s="121">
        <v>11016.6</v>
      </c>
      <c r="F151" s="121">
        <v>502643.21</v>
      </c>
      <c r="G151" s="121">
        <v>10545.33</v>
      </c>
      <c r="H151" s="121">
        <v>472893.06</v>
      </c>
      <c r="I151" s="121">
        <v>10545.33</v>
      </c>
      <c r="J151" s="121">
        <v>1000996.78</v>
      </c>
      <c r="K151" s="121">
        <v>327383.15</v>
      </c>
      <c r="L151" s="121">
        <v>601525.4</v>
      </c>
      <c r="M151" s="121">
        <v>58037.87</v>
      </c>
      <c r="N151" s="121">
        <v>564574.65</v>
      </c>
      <c r="O151" s="121">
        <v>386049.4</v>
      </c>
      <c r="P151" s="121">
        <v>853287.41</v>
      </c>
      <c r="Q151" s="41">
        <f t="shared" si="5"/>
        <v>11311.19</v>
      </c>
      <c r="R151" s="121">
        <v>657755.34</v>
      </c>
      <c r="S151" s="121">
        <v>552578.17</v>
      </c>
      <c r="T151" s="121">
        <v>642245.58</v>
      </c>
      <c r="U151" s="121">
        <v>172026.09</v>
      </c>
      <c r="V151" s="121">
        <v>104344.84</v>
      </c>
      <c r="W151" s="41">
        <f t="shared" si="6"/>
        <v>116341.32</v>
      </c>
      <c r="X151" s="121">
        <v>917471.91</v>
      </c>
      <c r="Y151" s="41">
        <f t="shared" si="8"/>
        <v>906160.7200000001</v>
      </c>
      <c r="Z151" s="121">
        <v>1069459.76</v>
      </c>
      <c r="AA151" s="121">
        <v>876331.09</v>
      </c>
      <c r="AB151" s="121">
        <v>1022502.04</v>
      </c>
      <c r="AC151" s="41">
        <f t="shared" si="7"/>
        <v>1022502.04</v>
      </c>
      <c r="AD151" s="121">
        <v>11311.19</v>
      </c>
      <c r="AE151" s="121">
        <v>0</v>
      </c>
      <c r="AF151" s="121">
        <v>116341.32</v>
      </c>
      <c r="AG151" s="121">
        <v>116341.32</v>
      </c>
    </row>
    <row r="152" spans="2:33" ht="14.25" customHeight="1">
      <c r="B152" s="25" t="s">
        <v>510</v>
      </c>
      <c r="C152" s="26" t="s">
        <v>511</v>
      </c>
      <c r="D152" s="121">
        <v>114781.45</v>
      </c>
      <c r="E152" s="121">
        <v>362.37</v>
      </c>
      <c r="F152" s="121">
        <v>86258.56</v>
      </c>
      <c r="G152" s="121">
        <v>0</v>
      </c>
      <c r="H152" s="121">
        <v>85172.91</v>
      </c>
      <c r="I152" s="121">
        <v>0</v>
      </c>
      <c r="J152" s="121">
        <v>207276.25</v>
      </c>
      <c r="K152" s="121">
        <v>92857.17</v>
      </c>
      <c r="L152" s="121">
        <v>154526.11</v>
      </c>
      <c r="M152" s="121">
        <v>1814.94</v>
      </c>
      <c r="N152" s="121">
        <v>120217.96</v>
      </c>
      <c r="O152" s="121">
        <v>178180.27</v>
      </c>
      <c r="P152" s="121">
        <v>336641.92</v>
      </c>
      <c r="Q152" s="41">
        <f t="shared" si="5"/>
        <v>1622.76</v>
      </c>
      <c r="R152" s="121">
        <v>129300.54</v>
      </c>
      <c r="S152" s="121">
        <v>150653.5</v>
      </c>
      <c r="T152" s="121">
        <v>254519.66</v>
      </c>
      <c r="U152" s="121">
        <v>18353.35</v>
      </c>
      <c r="V152" s="121">
        <v>41170.45</v>
      </c>
      <c r="W152" s="41">
        <f t="shared" si="6"/>
        <v>10734.91</v>
      </c>
      <c r="X152" s="121">
        <v>513820.47</v>
      </c>
      <c r="Y152" s="41">
        <f t="shared" si="8"/>
        <v>512197.70999999996</v>
      </c>
      <c r="Z152" s="121">
        <v>439937.54</v>
      </c>
      <c r="AA152" s="121">
        <v>170856.66</v>
      </c>
      <c r="AB152" s="121">
        <v>522932.62</v>
      </c>
      <c r="AC152" s="41">
        <f t="shared" si="7"/>
        <v>522932.62</v>
      </c>
      <c r="AD152" s="121">
        <v>1622.76</v>
      </c>
      <c r="AE152" s="121">
        <v>0</v>
      </c>
      <c r="AF152" s="121">
        <v>10734.91</v>
      </c>
      <c r="AG152" s="121">
        <v>10734.91</v>
      </c>
    </row>
    <row r="153" spans="2:33" ht="14.25" customHeight="1">
      <c r="B153" s="25" t="s">
        <v>512</v>
      </c>
      <c r="C153" s="26" t="s">
        <v>513</v>
      </c>
      <c r="D153" s="121">
        <v>0</v>
      </c>
      <c r="E153" s="121">
        <v>0</v>
      </c>
      <c r="F153" s="121">
        <v>0</v>
      </c>
      <c r="G153" s="121">
        <v>0</v>
      </c>
      <c r="H153" s="121">
        <v>0</v>
      </c>
      <c r="I153" s="121">
        <v>0</v>
      </c>
      <c r="J153" s="121">
        <v>0</v>
      </c>
      <c r="K153" s="121">
        <v>0</v>
      </c>
      <c r="L153" s="121">
        <v>0</v>
      </c>
      <c r="M153" s="121">
        <v>0</v>
      </c>
      <c r="N153" s="121">
        <v>0</v>
      </c>
      <c r="O153" s="121">
        <v>0</v>
      </c>
      <c r="P153" s="121">
        <v>0</v>
      </c>
      <c r="Q153" s="41">
        <f t="shared" si="5"/>
        <v>0</v>
      </c>
      <c r="R153" s="121">
        <v>0</v>
      </c>
      <c r="S153" s="121">
        <v>0</v>
      </c>
      <c r="T153" s="121">
        <v>0</v>
      </c>
      <c r="U153" s="121">
        <v>0</v>
      </c>
      <c r="V153" s="121">
        <v>0</v>
      </c>
      <c r="W153" s="41">
        <f t="shared" si="6"/>
        <v>0</v>
      </c>
      <c r="X153" s="121">
        <v>0</v>
      </c>
      <c r="Y153" s="41">
        <f t="shared" si="8"/>
        <v>0</v>
      </c>
      <c r="Z153" s="121">
        <v>0</v>
      </c>
      <c r="AA153" s="121">
        <v>0</v>
      </c>
      <c r="AB153" s="121">
        <v>0</v>
      </c>
      <c r="AC153" s="41">
        <f t="shared" si="7"/>
        <v>0</v>
      </c>
      <c r="AD153" s="121">
        <v>0</v>
      </c>
      <c r="AE153" s="121">
        <v>0</v>
      </c>
      <c r="AF153" s="121">
        <v>0</v>
      </c>
      <c r="AG153" s="121">
        <v>0</v>
      </c>
    </row>
    <row r="154" spans="2:33" ht="14.25" customHeight="1">
      <c r="B154" s="27" t="s">
        <v>514</v>
      </c>
      <c r="C154" s="28" t="s">
        <v>515</v>
      </c>
      <c r="D154" s="121">
        <v>114781.45</v>
      </c>
      <c r="E154" s="121">
        <v>362.37</v>
      </c>
      <c r="F154" s="121">
        <v>86258.56</v>
      </c>
      <c r="G154" s="121">
        <v>0</v>
      </c>
      <c r="H154" s="121">
        <v>85172.91</v>
      </c>
      <c r="I154" s="121">
        <v>0</v>
      </c>
      <c r="J154" s="121">
        <v>207276.25</v>
      </c>
      <c r="K154" s="121">
        <v>92857.17</v>
      </c>
      <c r="L154" s="121">
        <v>154526.11</v>
      </c>
      <c r="M154" s="121">
        <v>1814.94</v>
      </c>
      <c r="N154" s="121">
        <v>120217.96</v>
      </c>
      <c r="O154" s="121">
        <v>178180.27</v>
      </c>
      <c r="P154" s="121">
        <v>336641.92</v>
      </c>
      <c r="Q154" s="41">
        <f t="shared" si="5"/>
        <v>1622.76</v>
      </c>
      <c r="R154" s="121">
        <v>129300.54</v>
      </c>
      <c r="S154" s="121">
        <v>150653.5</v>
      </c>
      <c r="T154" s="121">
        <v>254519.66</v>
      </c>
      <c r="U154" s="121">
        <v>18353.35</v>
      </c>
      <c r="V154" s="121">
        <v>41170.45</v>
      </c>
      <c r="W154" s="41">
        <f t="shared" si="6"/>
        <v>10734.91</v>
      </c>
      <c r="X154" s="121">
        <v>513820.47</v>
      </c>
      <c r="Y154" s="41">
        <f t="shared" si="8"/>
        <v>512197.70999999996</v>
      </c>
      <c r="Z154" s="121">
        <v>439937.54</v>
      </c>
      <c r="AA154" s="121">
        <v>170856.66</v>
      </c>
      <c r="AB154" s="121">
        <v>522932.62</v>
      </c>
      <c r="AC154" s="41">
        <f t="shared" si="7"/>
        <v>522932.62</v>
      </c>
      <c r="AD154" s="121">
        <v>1622.76</v>
      </c>
      <c r="AE154" s="121">
        <v>0</v>
      </c>
      <c r="AF154" s="121">
        <v>10734.91</v>
      </c>
      <c r="AG154" s="121">
        <v>10734.91</v>
      </c>
    </row>
    <row r="155" spans="2:33" ht="14.25" customHeight="1">
      <c r="B155" s="25" t="s">
        <v>516</v>
      </c>
      <c r="C155" s="26" t="s">
        <v>517</v>
      </c>
      <c r="D155" s="121">
        <v>318995.33</v>
      </c>
      <c r="E155" s="121">
        <v>0</v>
      </c>
      <c r="F155" s="121">
        <v>178325</v>
      </c>
      <c r="G155" s="121">
        <v>0</v>
      </c>
      <c r="H155" s="121">
        <v>178325</v>
      </c>
      <c r="I155" s="121">
        <v>0</v>
      </c>
      <c r="J155" s="121">
        <v>435895.94</v>
      </c>
      <c r="K155" s="121">
        <v>116900.61</v>
      </c>
      <c r="L155" s="121">
        <v>438580.03</v>
      </c>
      <c r="M155" s="121">
        <v>0</v>
      </c>
      <c r="N155" s="121">
        <v>738069.44</v>
      </c>
      <c r="O155" s="121">
        <v>374697.81</v>
      </c>
      <c r="P155" s="121">
        <v>1210312.46</v>
      </c>
      <c r="Q155" s="41">
        <f t="shared" si="5"/>
        <v>0</v>
      </c>
      <c r="R155" s="121">
        <v>334806.19</v>
      </c>
      <c r="S155" s="121">
        <v>532330.72</v>
      </c>
      <c r="T155" s="121">
        <v>1417523.38</v>
      </c>
      <c r="U155" s="121">
        <v>34984</v>
      </c>
      <c r="V155" s="121">
        <v>118372.81</v>
      </c>
      <c r="W155" s="41">
        <f t="shared" si="6"/>
        <v>324111.53</v>
      </c>
      <c r="X155" s="121">
        <v>1244129.03</v>
      </c>
      <c r="Y155" s="41">
        <f t="shared" si="8"/>
        <v>1244129.03</v>
      </c>
      <c r="Z155" s="121">
        <v>500607.14</v>
      </c>
      <c r="AA155" s="121">
        <v>901680.63</v>
      </c>
      <c r="AB155" s="121">
        <v>1568240.56</v>
      </c>
      <c r="AC155" s="41">
        <f t="shared" si="7"/>
        <v>1568240.56</v>
      </c>
      <c r="AD155" s="121">
        <v>0</v>
      </c>
      <c r="AE155" s="121">
        <v>0</v>
      </c>
      <c r="AF155" s="121">
        <v>324111.53</v>
      </c>
      <c r="AG155" s="121">
        <v>324111.53</v>
      </c>
    </row>
    <row r="156" spans="2:33" ht="14.25" customHeight="1">
      <c r="B156" s="27" t="s">
        <v>518</v>
      </c>
      <c r="C156" s="28" t="s">
        <v>519</v>
      </c>
      <c r="D156" s="121">
        <v>318995.33</v>
      </c>
      <c r="E156" s="121">
        <v>0</v>
      </c>
      <c r="F156" s="121">
        <v>178325</v>
      </c>
      <c r="G156" s="121">
        <v>0</v>
      </c>
      <c r="H156" s="121">
        <v>178325</v>
      </c>
      <c r="I156" s="121">
        <v>0</v>
      </c>
      <c r="J156" s="121">
        <v>435895.94</v>
      </c>
      <c r="K156" s="121">
        <v>116900.61</v>
      </c>
      <c r="L156" s="121">
        <v>438580.03</v>
      </c>
      <c r="M156" s="121">
        <v>0</v>
      </c>
      <c r="N156" s="121">
        <v>738069.44</v>
      </c>
      <c r="O156" s="121">
        <v>374697.81</v>
      </c>
      <c r="P156" s="121">
        <v>1210312.46</v>
      </c>
      <c r="Q156" s="41">
        <f t="shared" si="5"/>
        <v>0</v>
      </c>
      <c r="R156" s="121">
        <v>334806.19</v>
      </c>
      <c r="S156" s="121">
        <v>532330.72</v>
      </c>
      <c r="T156" s="121">
        <v>1417523.38</v>
      </c>
      <c r="U156" s="121">
        <v>34984</v>
      </c>
      <c r="V156" s="121">
        <v>118372.81</v>
      </c>
      <c r="W156" s="41">
        <f t="shared" si="6"/>
        <v>324111.53</v>
      </c>
      <c r="X156" s="121">
        <v>1244129.03</v>
      </c>
      <c r="Y156" s="41">
        <f t="shared" si="8"/>
        <v>1244129.03</v>
      </c>
      <c r="Z156" s="121">
        <v>500607.14</v>
      </c>
      <c r="AA156" s="121">
        <v>901680.63</v>
      </c>
      <c r="AB156" s="121">
        <v>1568240.56</v>
      </c>
      <c r="AC156" s="41">
        <f t="shared" si="7"/>
        <v>1568240.56</v>
      </c>
      <c r="AD156" s="121">
        <v>0</v>
      </c>
      <c r="AE156" s="121">
        <v>0</v>
      </c>
      <c r="AF156" s="121">
        <v>324111.53</v>
      </c>
      <c r="AG156" s="121">
        <v>324111.53</v>
      </c>
    </row>
    <row r="157" spans="2:33" ht="14.25" customHeight="1">
      <c r="B157" s="25" t="s">
        <v>520</v>
      </c>
      <c r="C157" s="26" t="s">
        <v>521</v>
      </c>
      <c r="D157" s="121">
        <v>419215.56</v>
      </c>
      <c r="E157" s="121">
        <v>19907.27</v>
      </c>
      <c r="F157" s="121">
        <v>388360.04</v>
      </c>
      <c r="G157" s="121">
        <v>19415.92</v>
      </c>
      <c r="H157" s="121">
        <v>367868.69</v>
      </c>
      <c r="I157" s="121">
        <v>19415.92</v>
      </c>
      <c r="J157" s="121">
        <v>830616.86</v>
      </c>
      <c r="K157" s="121">
        <v>431308.57</v>
      </c>
      <c r="L157" s="121">
        <v>300702.69</v>
      </c>
      <c r="M157" s="121">
        <v>20165.78</v>
      </c>
      <c r="N157" s="121">
        <v>354787.69</v>
      </c>
      <c r="O157" s="121">
        <v>611221.63</v>
      </c>
      <c r="P157" s="121">
        <v>1034680.62</v>
      </c>
      <c r="Q157" s="41">
        <f t="shared" si="5"/>
        <v>69997.95</v>
      </c>
      <c r="R157" s="121">
        <v>290355.41</v>
      </c>
      <c r="S157" s="121">
        <v>280195.95</v>
      </c>
      <c r="T157" s="121">
        <v>688581.4</v>
      </c>
      <c r="U157" s="121">
        <v>573.09</v>
      </c>
      <c r="V157" s="121">
        <v>10617.61</v>
      </c>
      <c r="W157" s="41">
        <f t="shared" si="6"/>
        <v>85209.35</v>
      </c>
      <c r="X157" s="121">
        <v>1305351.19</v>
      </c>
      <c r="Y157" s="41">
        <f t="shared" si="8"/>
        <v>1235353.24</v>
      </c>
      <c r="Z157" s="121">
        <v>511212.43</v>
      </c>
      <c r="AA157" s="121">
        <v>682810.84</v>
      </c>
      <c r="AB157" s="121">
        <v>1320562.59</v>
      </c>
      <c r="AC157" s="41">
        <f t="shared" si="7"/>
        <v>1320562.59</v>
      </c>
      <c r="AD157" s="121">
        <v>69997.95</v>
      </c>
      <c r="AE157" s="121">
        <v>51655.26</v>
      </c>
      <c r="AF157" s="121">
        <v>85209.35</v>
      </c>
      <c r="AG157" s="121">
        <v>85209.35</v>
      </c>
    </row>
    <row r="158" spans="2:33" ht="14.25" customHeight="1">
      <c r="B158" s="25" t="s">
        <v>522</v>
      </c>
      <c r="C158" s="26" t="s">
        <v>523</v>
      </c>
      <c r="D158" s="121">
        <v>2090285.2</v>
      </c>
      <c r="E158" s="121">
        <v>5425.3</v>
      </c>
      <c r="F158" s="121">
        <v>1374942.95</v>
      </c>
      <c r="G158" s="121">
        <v>5220.25</v>
      </c>
      <c r="H158" s="121">
        <v>174223.4</v>
      </c>
      <c r="I158" s="121">
        <v>5220.25</v>
      </c>
      <c r="J158" s="121">
        <v>2203686.9</v>
      </c>
      <c r="K158" s="121">
        <v>118827</v>
      </c>
      <c r="L158" s="121">
        <v>282290.72</v>
      </c>
      <c r="M158" s="121">
        <v>23054.58</v>
      </c>
      <c r="N158" s="121">
        <v>96410.71</v>
      </c>
      <c r="O158" s="121">
        <v>4896.55</v>
      </c>
      <c r="P158" s="121">
        <v>407328.26</v>
      </c>
      <c r="Q158" s="41">
        <f t="shared" si="5"/>
        <v>202909.8</v>
      </c>
      <c r="R158" s="121">
        <v>172421.14</v>
      </c>
      <c r="S158" s="121">
        <v>212210.63</v>
      </c>
      <c r="T158" s="121">
        <v>290519.66</v>
      </c>
      <c r="U158" s="121">
        <v>12498.59</v>
      </c>
      <c r="V158" s="121">
        <v>117818.32</v>
      </c>
      <c r="W158" s="41">
        <f t="shared" si="6"/>
        <v>2018.4</v>
      </c>
      <c r="X158" s="121">
        <v>666973.99</v>
      </c>
      <c r="Y158" s="41">
        <f t="shared" si="8"/>
        <v>464064.19</v>
      </c>
      <c r="Z158" s="121">
        <v>1657154.69</v>
      </c>
      <c r="AA158" s="121">
        <v>2713554.52</v>
      </c>
      <c r="AB158" s="121">
        <v>466082.59</v>
      </c>
      <c r="AC158" s="41">
        <f t="shared" si="7"/>
        <v>466082.59</v>
      </c>
      <c r="AD158" s="121">
        <v>202909.8</v>
      </c>
      <c r="AE158" s="121">
        <v>197988.2</v>
      </c>
      <c r="AF158" s="121">
        <v>2018.4</v>
      </c>
      <c r="AG158" s="121">
        <v>2018.4</v>
      </c>
    </row>
    <row r="159" spans="2:33" ht="14.25" customHeight="1">
      <c r="B159" s="27" t="s">
        <v>524</v>
      </c>
      <c r="C159" s="28" t="s">
        <v>525</v>
      </c>
      <c r="D159" s="121">
        <v>2509500.76</v>
      </c>
      <c r="E159" s="121">
        <v>25332.57</v>
      </c>
      <c r="F159" s="121">
        <v>1763302.99</v>
      </c>
      <c r="G159" s="121">
        <v>24636.17</v>
      </c>
      <c r="H159" s="121">
        <v>542092.09</v>
      </c>
      <c r="I159" s="121">
        <v>24636.17</v>
      </c>
      <c r="J159" s="121">
        <v>3034303.76</v>
      </c>
      <c r="K159" s="121">
        <v>550135.57</v>
      </c>
      <c r="L159" s="121">
        <v>582993.41</v>
      </c>
      <c r="M159" s="121">
        <v>43220.36</v>
      </c>
      <c r="N159" s="121">
        <v>451198.4</v>
      </c>
      <c r="O159" s="121">
        <v>616118.18</v>
      </c>
      <c r="P159" s="121">
        <v>1442008.88</v>
      </c>
      <c r="Q159" s="41">
        <f t="shared" si="5"/>
        <v>272907.75</v>
      </c>
      <c r="R159" s="121">
        <v>462776.55</v>
      </c>
      <c r="S159" s="121">
        <v>492406.58</v>
      </c>
      <c r="T159" s="121">
        <v>979101.06</v>
      </c>
      <c r="U159" s="121">
        <v>13071.68</v>
      </c>
      <c r="V159" s="121">
        <v>128435.93</v>
      </c>
      <c r="W159" s="41">
        <f t="shared" si="6"/>
        <v>87227.75</v>
      </c>
      <c r="X159" s="121">
        <v>1972325.18</v>
      </c>
      <c r="Y159" s="41">
        <f t="shared" si="8"/>
        <v>1699417.43</v>
      </c>
      <c r="Z159" s="121">
        <v>2168367.12</v>
      </c>
      <c r="AA159" s="121">
        <v>3396365.36</v>
      </c>
      <c r="AB159" s="121">
        <v>1786645.18</v>
      </c>
      <c r="AC159" s="41">
        <f t="shared" si="7"/>
        <v>1786645.18</v>
      </c>
      <c r="AD159" s="121">
        <v>272907.75</v>
      </c>
      <c r="AE159" s="121">
        <v>249643.46</v>
      </c>
      <c r="AF159" s="121">
        <v>87227.75</v>
      </c>
      <c r="AG159" s="121">
        <v>87227.75</v>
      </c>
    </row>
    <row r="160" spans="2:33" ht="14.25" customHeight="1">
      <c r="B160" s="25" t="s">
        <v>526</v>
      </c>
      <c r="C160" s="26" t="s">
        <v>527</v>
      </c>
      <c r="D160" s="121">
        <v>296494.65</v>
      </c>
      <c r="E160" s="121">
        <v>0</v>
      </c>
      <c r="F160" s="121">
        <v>18174.07</v>
      </c>
      <c r="G160" s="121">
        <v>0</v>
      </c>
      <c r="H160" s="121">
        <v>9672.95</v>
      </c>
      <c r="I160" s="121">
        <v>0</v>
      </c>
      <c r="J160" s="121">
        <v>367823.71</v>
      </c>
      <c r="K160" s="121">
        <v>71329.06</v>
      </c>
      <c r="L160" s="121">
        <v>11846.39</v>
      </c>
      <c r="M160" s="121">
        <v>0</v>
      </c>
      <c r="N160" s="121">
        <v>11254.96</v>
      </c>
      <c r="O160" s="121">
        <v>111493.39</v>
      </c>
      <c r="P160" s="121">
        <v>148248.92</v>
      </c>
      <c r="Q160" s="41">
        <f t="shared" si="5"/>
        <v>80819.51</v>
      </c>
      <c r="R160" s="121">
        <v>11846.39</v>
      </c>
      <c r="S160" s="121">
        <v>11224.96</v>
      </c>
      <c r="T160" s="121">
        <v>76949.86</v>
      </c>
      <c r="U160" s="121">
        <v>0</v>
      </c>
      <c r="V160" s="121">
        <v>0</v>
      </c>
      <c r="W160" s="41">
        <f t="shared" si="6"/>
        <v>30</v>
      </c>
      <c r="X160" s="121">
        <v>274096.69</v>
      </c>
      <c r="Y160" s="41">
        <f t="shared" si="8"/>
        <v>193277.18</v>
      </c>
      <c r="Z160" s="121">
        <v>92665.9</v>
      </c>
      <c r="AA160" s="121">
        <v>61370.59</v>
      </c>
      <c r="AB160" s="121">
        <v>193307.18</v>
      </c>
      <c r="AC160" s="41">
        <f t="shared" si="7"/>
        <v>193307.18</v>
      </c>
      <c r="AD160" s="121">
        <v>80819.51</v>
      </c>
      <c r="AE160" s="121">
        <v>80819.51</v>
      </c>
      <c r="AF160" s="121">
        <v>30</v>
      </c>
      <c r="AG160" s="121">
        <v>30</v>
      </c>
    </row>
    <row r="161" spans="2:33" ht="14.25" customHeight="1">
      <c r="B161" s="25" t="s">
        <v>528</v>
      </c>
      <c r="C161" s="26" t="s">
        <v>529</v>
      </c>
      <c r="D161" s="121">
        <v>11502821.67</v>
      </c>
      <c r="E161" s="121">
        <v>8608.54</v>
      </c>
      <c r="F161" s="121">
        <v>21425490.09</v>
      </c>
      <c r="G161" s="121">
        <v>8314.51</v>
      </c>
      <c r="H161" s="121">
        <v>11881373.3</v>
      </c>
      <c r="I161" s="121">
        <v>8314.51</v>
      </c>
      <c r="J161" s="121">
        <v>11575183.39</v>
      </c>
      <c r="K161" s="121">
        <v>80970.26</v>
      </c>
      <c r="L161" s="121">
        <v>854913.2</v>
      </c>
      <c r="M161" s="121">
        <v>439605.97</v>
      </c>
      <c r="N161" s="121">
        <v>567063.1</v>
      </c>
      <c r="O161" s="121">
        <v>219882.21</v>
      </c>
      <c r="P161" s="121">
        <v>523668.47</v>
      </c>
      <c r="Q161" s="41">
        <f t="shared" si="5"/>
        <v>94133.29</v>
      </c>
      <c r="R161" s="121">
        <v>929591.06</v>
      </c>
      <c r="S161" s="121">
        <v>637650.31</v>
      </c>
      <c r="T161" s="121">
        <v>580041.3</v>
      </c>
      <c r="U161" s="121">
        <v>401815.8</v>
      </c>
      <c r="V161" s="121">
        <v>207930.3</v>
      </c>
      <c r="W161" s="41">
        <f t="shared" si="6"/>
        <v>137343.09</v>
      </c>
      <c r="X161" s="121">
        <v>629789.94</v>
      </c>
      <c r="Y161" s="41">
        <f t="shared" si="8"/>
        <v>535656.6499999999</v>
      </c>
      <c r="Z161" s="121">
        <v>2531668.77</v>
      </c>
      <c r="AA161" s="121">
        <v>12979928.47</v>
      </c>
      <c r="AB161" s="121">
        <v>672999.74</v>
      </c>
      <c r="AC161" s="41">
        <f t="shared" si="7"/>
        <v>672999.74</v>
      </c>
      <c r="AD161" s="121">
        <v>94133.29</v>
      </c>
      <c r="AE161" s="121">
        <v>167382.03</v>
      </c>
      <c r="AF161" s="121">
        <v>137343.09</v>
      </c>
      <c r="AG161" s="121">
        <v>137343.09</v>
      </c>
    </row>
    <row r="162" spans="2:33" ht="14.25" customHeight="1">
      <c r="B162" s="25" t="s">
        <v>530</v>
      </c>
      <c r="C162" s="26" t="s">
        <v>531</v>
      </c>
      <c r="D162" s="121">
        <v>6199520.91</v>
      </c>
      <c r="E162" s="121">
        <v>1453.73</v>
      </c>
      <c r="F162" s="121">
        <v>6007565.65</v>
      </c>
      <c r="G162" s="121">
        <v>1364.75</v>
      </c>
      <c r="H162" s="121">
        <v>4809504.67</v>
      </c>
      <c r="I162" s="121">
        <v>1364.75</v>
      </c>
      <c r="J162" s="121">
        <v>6832326.17</v>
      </c>
      <c r="K162" s="121">
        <v>634258.99</v>
      </c>
      <c r="L162" s="121">
        <v>4496544.49</v>
      </c>
      <c r="M162" s="121">
        <v>114038.12</v>
      </c>
      <c r="N162" s="121">
        <v>4895954.35</v>
      </c>
      <c r="O162" s="121">
        <v>116990.33</v>
      </c>
      <c r="P162" s="121">
        <v>4877337.61</v>
      </c>
      <c r="Q162" s="41">
        <f t="shared" si="5"/>
        <v>194967.35</v>
      </c>
      <c r="R162" s="121">
        <v>4964176.99</v>
      </c>
      <c r="S162" s="121">
        <v>4956467.97</v>
      </c>
      <c r="T162" s="121">
        <v>5121584.58</v>
      </c>
      <c r="U162" s="121">
        <v>1406652.08</v>
      </c>
      <c r="V162" s="121">
        <v>939019.58</v>
      </c>
      <c r="W162" s="41">
        <f t="shared" si="6"/>
        <v>878505.96</v>
      </c>
      <c r="X162" s="121">
        <v>5101998.17</v>
      </c>
      <c r="Y162" s="41">
        <f t="shared" si="8"/>
        <v>4907030.82</v>
      </c>
      <c r="Z162" s="121">
        <v>7263288.87</v>
      </c>
      <c r="AA162" s="121">
        <v>7223010.45</v>
      </c>
      <c r="AB162" s="121">
        <v>5785536.78</v>
      </c>
      <c r="AC162" s="41">
        <f t="shared" si="7"/>
        <v>5785536.78</v>
      </c>
      <c r="AD162" s="121">
        <v>194967.35</v>
      </c>
      <c r="AE162" s="121">
        <v>193320.55</v>
      </c>
      <c r="AF162" s="121">
        <v>878505.96</v>
      </c>
      <c r="AG162" s="121">
        <v>878505.96</v>
      </c>
    </row>
    <row r="163" spans="2:33" ht="14.25" customHeight="1">
      <c r="B163" s="25" t="s">
        <v>532</v>
      </c>
      <c r="C163" s="26" t="s">
        <v>533</v>
      </c>
      <c r="D163" s="121">
        <v>71737.57</v>
      </c>
      <c r="E163" s="121">
        <v>0</v>
      </c>
      <c r="F163" s="121">
        <v>88965.7</v>
      </c>
      <c r="G163" s="121">
        <v>0</v>
      </c>
      <c r="H163" s="121">
        <v>38965.7</v>
      </c>
      <c r="I163" s="121">
        <v>0</v>
      </c>
      <c r="J163" s="121">
        <v>73466.59</v>
      </c>
      <c r="K163" s="121">
        <v>1729.02</v>
      </c>
      <c r="L163" s="121">
        <v>5512.26</v>
      </c>
      <c r="M163" s="121">
        <v>0</v>
      </c>
      <c r="N163" s="121">
        <v>34517.4</v>
      </c>
      <c r="O163" s="121">
        <v>0</v>
      </c>
      <c r="P163" s="121">
        <v>74544.93</v>
      </c>
      <c r="Q163" s="41">
        <f t="shared" si="5"/>
        <v>0</v>
      </c>
      <c r="R163" s="121">
        <v>25189.82</v>
      </c>
      <c r="S163" s="121">
        <v>35764.06</v>
      </c>
      <c r="T163" s="121">
        <v>72815.91</v>
      </c>
      <c r="U163" s="121">
        <v>20924.22</v>
      </c>
      <c r="V163" s="121">
        <v>1246.66</v>
      </c>
      <c r="W163" s="41">
        <f t="shared" si="6"/>
        <v>0</v>
      </c>
      <c r="X163" s="121">
        <v>87965.7</v>
      </c>
      <c r="Y163" s="41">
        <f t="shared" si="8"/>
        <v>87965.7</v>
      </c>
      <c r="Z163" s="121">
        <v>94771.87</v>
      </c>
      <c r="AA163" s="121">
        <v>115518.53</v>
      </c>
      <c r="AB163" s="121">
        <v>87965.7</v>
      </c>
      <c r="AC163" s="41">
        <f t="shared" si="7"/>
        <v>87965.7</v>
      </c>
      <c r="AD163" s="121">
        <v>0</v>
      </c>
      <c r="AE163" s="121">
        <v>0</v>
      </c>
      <c r="AF163" s="121">
        <v>0</v>
      </c>
      <c r="AG163" s="121">
        <v>0</v>
      </c>
    </row>
    <row r="164" spans="2:33" ht="14.25" customHeight="1">
      <c r="B164" s="25" t="s">
        <v>534</v>
      </c>
      <c r="C164" s="26" t="s">
        <v>535</v>
      </c>
      <c r="D164" s="121">
        <v>802155.91</v>
      </c>
      <c r="E164" s="121">
        <v>0</v>
      </c>
      <c r="F164" s="121">
        <v>458140</v>
      </c>
      <c r="G164" s="121">
        <v>0</v>
      </c>
      <c r="H164" s="121">
        <v>458140</v>
      </c>
      <c r="I164" s="121">
        <v>0</v>
      </c>
      <c r="J164" s="121">
        <v>937908.44</v>
      </c>
      <c r="K164" s="121">
        <v>135752.53</v>
      </c>
      <c r="L164" s="121">
        <v>500543.55</v>
      </c>
      <c r="M164" s="121">
        <v>335286.09</v>
      </c>
      <c r="N164" s="121">
        <v>1337609.01</v>
      </c>
      <c r="O164" s="121">
        <v>820.76</v>
      </c>
      <c r="P164" s="121">
        <v>300671.2</v>
      </c>
      <c r="Q164" s="41">
        <f t="shared" si="5"/>
        <v>0</v>
      </c>
      <c r="R164" s="121">
        <v>307542.82</v>
      </c>
      <c r="S164" s="121">
        <v>1521181.96</v>
      </c>
      <c r="T164" s="121">
        <v>239270.16</v>
      </c>
      <c r="U164" s="121">
        <v>67450.36</v>
      </c>
      <c r="V164" s="121">
        <v>257924.44</v>
      </c>
      <c r="W164" s="41">
        <f t="shared" si="6"/>
        <v>74351.49</v>
      </c>
      <c r="X164" s="121">
        <v>547285.95</v>
      </c>
      <c r="Y164" s="41">
        <f t="shared" si="8"/>
        <v>547285.95</v>
      </c>
      <c r="Z164" s="121">
        <v>1231205.98</v>
      </c>
      <c r="AA164" s="121">
        <v>2050161.43</v>
      </c>
      <c r="AB164" s="121">
        <v>621637.44</v>
      </c>
      <c r="AC164" s="41">
        <f t="shared" si="7"/>
        <v>621637.44</v>
      </c>
      <c r="AD164" s="121">
        <v>0</v>
      </c>
      <c r="AE164" s="121">
        <v>0</v>
      </c>
      <c r="AF164" s="121">
        <v>74351.49</v>
      </c>
      <c r="AG164" s="121">
        <v>74351.49</v>
      </c>
    </row>
    <row r="165" spans="2:33" ht="14.25" customHeight="1">
      <c r="B165" s="25" t="s">
        <v>536</v>
      </c>
      <c r="C165" s="26" t="s">
        <v>537</v>
      </c>
      <c r="D165" s="121">
        <v>0</v>
      </c>
      <c r="E165" s="121">
        <v>0</v>
      </c>
      <c r="F165" s="121">
        <v>0</v>
      </c>
      <c r="G165" s="121">
        <v>0</v>
      </c>
      <c r="H165" s="121">
        <v>0</v>
      </c>
      <c r="I165" s="121">
        <v>0</v>
      </c>
      <c r="J165" s="121">
        <v>0</v>
      </c>
      <c r="K165" s="121">
        <v>0</v>
      </c>
      <c r="L165" s="121">
        <v>89296.78</v>
      </c>
      <c r="M165" s="121">
        <v>0</v>
      </c>
      <c r="N165" s="121">
        <v>0</v>
      </c>
      <c r="O165" s="121">
        <v>0</v>
      </c>
      <c r="P165" s="121">
        <v>0</v>
      </c>
      <c r="Q165" s="41">
        <f t="shared" si="5"/>
        <v>80306.14</v>
      </c>
      <c r="R165" s="121">
        <v>9759.33</v>
      </c>
      <c r="S165" s="121">
        <v>89189.42</v>
      </c>
      <c r="T165" s="121">
        <v>0</v>
      </c>
      <c r="U165" s="121">
        <v>9759.33</v>
      </c>
      <c r="V165" s="121">
        <v>89189.42</v>
      </c>
      <c r="W165" s="41">
        <f t="shared" si="6"/>
        <v>0</v>
      </c>
      <c r="X165" s="121">
        <v>87846.35</v>
      </c>
      <c r="Y165" s="41">
        <f t="shared" si="8"/>
        <v>7540.210000000006</v>
      </c>
      <c r="Z165" s="121">
        <v>118831.34</v>
      </c>
      <c r="AA165" s="121">
        <v>109071.61</v>
      </c>
      <c r="AB165" s="121">
        <v>7540.21</v>
      </c>
      <c r="AC165" s="41">
        <f t="shared" si="7"/>
        <v>7540.21</v>
      </c>
      <c r="AD165" s="121">
        <v>80306.14</v>
      </c>
      <c r="AE165" s="121">
        <v>0</v>
      </c>
      <c r="AF165" s="121">
        <v>0</v>
      </c>
      <c r="AG165" s="121">
        <v>0</v>
      </c>
    </row>
    <row r="166" spans="2:33" ht="14.25" customHeight="1">
      <c r="B166" s="25" t="s">
        <v>538</v>
      </c>
      <c r="C166" s="26" t="s">
        <v>539</v>
      </c>
      <c r="D166" s="121">
        <v>0</v>
      </c>
      <c r="E166" s="121">
        <v>0</v>
      </c>
      <c r="F166" s="121">
        <v>0</v>
      </c>
      <c r="G166" s="121">
        <v>0</v>
      </c>
      <c r="H166" s="121">
        <v>0</v>
      </c>
      <c r="I166" s="121">
        <v>0</v>
      </c>
      <c r="J166" s="121">
        <v>0</v>
      </c>
      <c r="K166" s="121">
        <v>0</v>
      </c>
      <c r="L166" s="121">
        <v>0</v>
      </c>
      <c r="M166" s="121">
        <v>0</v>
      </c>
      <c r="N166" s="121">
        <v>0</v>
      </c>
      <c r="O166" s="121">
        <v>0</v>
      </c>
      <c r="P166" s="121">
        <v>0</v>
      </c>
      <c r="Q166" s="41">
        <f t="shared" si="5"/>
        <v>0</v>
      </c>
      <c r="R166" s="121">
        <v>0</v>
      </c>
      <c r="S166" s="121">
        <v>0</v>
      </c>
      <c r="T166" s="121">
        <v>0</v>
      </c>
      <c r="U166" s="121">
        <v>0</v>
      </c>
      <c r="V166" s="121">
        <v>0</v>
      </c>
      <c r="W166" s="41">
        <f t="shared" si="6"/>
        <v>0</v>
      </c>
      <c r="X166" s="121">
        <v>0</v>
      </c>
      <c r="Y166" s="41">
        <f t="shared" si="8"/>
        <v>0</v>
      </c>
      <c r="Z166" s="121">
        <v>0</v>
      </c>
      <c r="AA166" s="121">
        <v>0</v>
      </c>
      <c r="AB166" s="121">
        <v>0</v>
      </c>
      <c r="AC166" s="41">
        <f t="shared" si="7"/>
        <v>0</v>
      </c>
      <c r="AD166" s="121">
        <v>0</v>
      </c>
      <c r="AE166" s="121">
        <v>0</v>
      </c>
      <c r="AF166" s="121">
        <v>0</v>
      </c>
      <c r="AG166" s="121">
        <v>0</v>
      </c>
    </row>
    <row r="167" spans="2:33" ht="14.25" customHeight="1">
      <c r="B167" s="25" t="s">
        <v>540</v>
      </c>
      <c r="C167" s="26" t="s">
        <v>541</v>
      </c>
      <c r="D167" s="121">
        <v>0</v>
      </c>
      <c r="E167" s="121">
        <v>0</v>
      </c>
      <c r="F167" s="121">
        <v>0</v>
      </c>
      <c r="G167" s="121">
        <v>0</v>
      </c>
      <c r="H167" s="121">
        <v>0</v>
      </c>
      <c r="I167" s="121">
        <v>0</v>
      </c>
      <c r="J167" s="121">
        <v>0</v>
      </c>
      <c r="K167" s="121">
        <v>0</v>
      </c>
      <c r="L167" s="121">
        <v>121920.12</v>
      </c>
      <c r="M167" s="121">
        <v>524.22</v>
      </c>
      <c r="N167" s="121">
        <v>13054</v>
      </c>
      <c r="O167" s="121">
        <v>0</v>
      </c>
      <c r="P167" s="121">
        <v>878.4</v>
      </c>
      <c r="Q167" s="41">
        <f t="shared" si="5"/>
        <v>0</v>
      </c>
      <c r="R167" s="121">
        <v>37375.26</v>
      </c>
      <c r="S167" s="121">
        <v>104693.81</v>
      </c>
      <c r="T167" s="121">
        <v>13932.4</v>
      </c>
      <c r="U167" s="121">
        <v>20148.95</v>
      </c>
      <c r="V167" s="121">
        <v>104693.81</v>
      </c>
      <c r="W167" s="41">
        <f t="shared" si="6"/>
        <v>13054</v>
      </c>
      <c r="X167" s="121">
        <v>878.4</v>
      </c>
      <c r="Y167" s="41">
        <f t="shared" si="8"/>
        <v>878.4</v>
      </c>
      <c r="Z167" s="121">
        <v>142593.29</v>
      </c>
      <c r="AA167" s="121">
        <v>125891.2</v>
      </c>
      <c r="AB167" s="121">
        <v>13932.4</v>
      </c>
      <c r="AC167" s="41">
        <f t="shared" si="7"/>
        <v>13932.4</v>
      </c>
      <c r="AD167" s="121">
        <v>0</v>
      </c>
      <c r="AE167" s="121">
        <v>0</v>
      </c>
      <c r="AF167" s="121">
        <v>13054</v>
      </c>
      <c r="AG167" s="121">
        <v>13054</v>
      </c>
    </row>
    <row r="168" spans="2:33" ht="14.25" customHeight="1">
      <c r="B168" s="27" t="s">
        <v>542</v>
      </c>
      <c r="C168" s="28" t="s">
        <v>543</v>
      </c>
      <c r="D168" s="121">
        <v>18872730.71</v>
      </c>
      <c r="E168" s="121">
        <v>10062.27</v>
      </c>
      <c r="F168" s="121">
        <v>27998335.51</v>
      </c>
      <c r="G168" s="121">
        <v>9679.26</v>
      </c>
      <c r="H168" s="121">
        <v>17197656.62</v>
      </c>
      <c r="I168" s="121">
        <v>9679.26</v>
      </c>
      <c r="J168" s="121">
        <v>19786708.3</v>
      </c>
      <c r="K168" s="121">
        <v>924039.86</v>
      </c>
      <c r="L168" s="121">
        <v>6080576.79</v>
      </c>
      <c r="M168" s="121">
        <v>889454.4</v>
      </c>
      <c r="N168" s="121">
        <v>6859452.82</v>
      </c>
      <c r="O168" s="121">
        <v>449186.69</v>
      </c>
      <c r="P168" s="121">
        <v>5925349.53</v>
      </c>
      <c r="Q168" s="41">
        <f t="shared" si="5"/>
        <v>450226.29</v>
      </c>
      <c r="R168" s="121">
        <v>6285481.67</v>
      </c>
      <c r="S168" s="121">
        <v>7356172.49</v>
      </c>
      <c r="T168" s="121">
        <v>6104594.21</v>
      </c>
      <c r="U168" s="121">
        <v>1926750.74</v>
      </c>
      <c r="V168" s="121">
        <v>1600004.21</v>
      </c>
      <c r="W168" s="41">
        <f t="shared" si="6"/>
        <v>1103284.54</v>
      </c>
      <c r="X168" s="121">
        <v>6729861.2</v>
      </c>
      <c r="Y168" s="41">
        <f t="shared" si="8"/>
        <v>6279634.91</v>
      </c>
      <c r="Z168" s="121">
        <v>11475026.02</v>
      </c>
      <c r="AA168" s="121">
        <v>22664952.28</v>
      </c>
      <c r="AB168" s="121">
        <v>7382919.45</v>
      </c>
      <c r="AC168" s="41">
        <f t="shared" si="7"/>
        <v>7382919.45</v>
      </c>
      <c r="AD168" s="121">
        <v>450226.29</v>
      </c>
      <c r="AE168" s="121">
        <v>441522.09</v>
      </c>
      <c r="AF168" s="121">
        <v>1103284.54</v>
      </c>
      <c r="AG168" s="121">
        <v>1103284.54</v>
      </c>
    </row>
    <row r="169" spans="2:33" ht="14.25" customHeight="1">
      <c r="B169" s="25" t="s">
        <v>544</v>
      </c>
      <c r="C169" s="26" t="s">
        <v>545</v>
      </c>
      <c r="D169" s="121">
        <v>0</v>
      </c>
      <c r="E169" s="121">
        <v>0</v>
      </c>
      <c r="F169" s="121">
        <v>0</v>
      </c>
      <c r="G169" s="121">
        <v>0</v>
      </c>
      <c r="H169" s="121">
        <v>0</v>
      </c>
      <c r="I169" s="121">
        <v>0</v>
      </c>
      <c r="J169" s="121">
        <v>0</v>
      </c>
      <c r="K169" s="121">
        <v>0</v>
      </c>
      <c r="L169" s="121">
        <v>0</v>
      </c>
      <c r="M169" s="121">
        <v>0</v>
      </c>
      <c r="N169" s="121">
        <v>0</v>
      </c>
      <c r="O169" s="121">
        <v>0</v>
      </c>
      <c r="P169" s="121">
        <v>0</v>
      </c>
      <c r="Q169" s="41">
        <f t="shared" si="5"/>
        <v>0</v>
      </c>
      <c r="R169" s="121">
        <v>0</v>
      </c>
      <c r="S169" s="121">
        <v>0</v>
      </c>
      <c r="T169" s="121">
        <v>0</v>
      </c>
      <c r="U169" s="121">
        <v>0</v>
      </c>
      <c r="V169" s="121">
        <v>0</v>
      </c>
      <c r="W169" s="41">
        <f t="shared" si="6"/>
        <v>0</v>
      </c>
      <c r="X169" s="121">
        <v>0</v>
      </c>
      <c r="Y169" s="41">
        <f t="shared" si="8"/>
        <v>0</v>
      </c>
      <c r="Z169" s="121">
        <v>0</v>
      </c>
      <c r="AA169" s="121">
        <v>0</v>
      </c>
      <c r="AB169" s="121">
        <v>0</v>
      </c>
      <c r="AC169" s="41">
        <f t="shared" si="7"/>
        <v>0</v>
      </c>
      <c r="AD169" s="121">
        <v>0</v>
      </c>
      <c r="AE169" s="121">
        <v>0</v>
      </c>
      <c r="AF169" s="121">
        <v>0</v>
      </c>
      <c r="AG169" s="121">
        <v>0</v>
      </c>
    </row>
    <row r="170" spans="2:33" ht="14.25" customHeight="1">
      <c r="B170" s="25" t="s">
        <v>546</v>
      </c>
      <c r="C170" s="26" t="s">
        <v>547</v>
      </c>
      <c r="D170" s="121">
        <v>0</v>
      </c>
      <c r="E170" s="121">
        <v>0</v>
      </c>
      <c r="F170" s="121">
        <v>0</v>
      </c>
      <c r="G170" s="121">
        <v>0</v>
      </c>
      <c r="H170" s="121">
        <v>0</v>
      </c>
      <c r="I170" s="121">
        <v>0</v>
      </c>
      <c r="J170" s="121">
        <v>0</v>
      </c>
      <c r="K170" s="121">
        <v>0</v>
      </c>
      <c r="L170" s="121">
        <v>0</v>
      </c>
      <c r="M170" s="121">
        <v>0</v>
      </c>
      <c r="N170" s="121">
        <v>0</v>
      </c>
      <c r="O170" s="121">
        <v>0</v>
      </c>
      <c r="P170" s="121">
        <v>0</v>
      </c>
      <c r="Q170" s="41">
        <f t="shared" si="5"/>
        <v>0</v>
      </c>
      <c r="R170" s="121">
        <v>0</v>
      </c>
      <c r="S170" s="121">
        <v>0</v>
      </c>
      <c r="T170" s="121">
        <v>0</v>
      </c>
      <c r="U170" s="121">
        <v>0</v>
      </c>
      <c r="V170" s="121">
        <v>0</v>
      </c>
      <c r="W170" s="41">
        <f t="shared" si="6"/>
        <v>0</v>
      </c>
      <c r="X170" s="121">
        <v>0</v>
      </c>
      <c r="Y170" s="41">
        <f t="shared" si="8"/>
        <v>0</v>
      </c>
      <c r="Z170" s="121">
        <v>0</v>
      </c>
      <c r="AA170" s="121">
        <v>0</v>
      </c>
      <c r="AB170" s="121">
        <v>0</v>
      </c>
      <c r="AC170" s="41">
        <f t="shared" si="7"/>
        <v>0</v>
      </c>
      <c r="AD170" s="121">
        <v>0</v>
      </c>
      <c r="AE170" s="121">
        <v>0</v>
      </c>
      <c r="AF170" s="121">
        <v>0</v>
      </c>
      <c r="AG170" s="121">
        <v>0</v>
      </c>
    </row>
    <row r="171" spans="2:33" ht="14.25" customHeight="1">
      <c r="B171" s="25" t="s">
        <v>548</v>
      </c>
      <c r="C171" s="26" t="s">
        <v>549</v>
      </c>
      <c r="D171" s="121">
        <v>0</v>
      </c>
      <c r="E171" s="121">
        <v>0</v>
      </c>
      <c r="F171" s="121">
        <v>0</v>
      </c>
      <c r="G171" s="121">
        <v>0</v>
      </c>
      <c r="H171" s="121">
        <v>0</v>
      </c>
      <c r="I171" s="121">
        <v>0</v>
      </c>
      <c r="J171" s="121">
        <v>0</v>
      </c>
      <c r="K171" s="121">
        <v>0</v>
      </c>
      <c r="L171" s="121">
        <v>0</v>
      </c>
      <c r="M171" s="121">
        <v>0</v>
      </c>
      <c r="N171" s="121">
        <v>0</v>
      </c>
      <c r="O171" s="121">
        <v>0</v>
      </c>
      <c r="P171" s="121">
        <v>0</v>
      </c>
      <c r="Q171" s="41">
        <f t="shared" si="5"/>
        <v>0</v>
      </c>
      <c r="R171" s="121">
        <v>0</v>
      </c>
      <c r="S171" s="121">
        <v>0</v>
      </c>
      <c r="T171" s="121">
        <v>0</v>
      </c>
      <c r="U171" s="121">
        <v>0</v>
      </c>
      <c r="V171" s="121">
        <v>0</v>
      </c>
      <c r="W171" s="41">
        <f t="shared" si="6"/>
        <v>0</v>
      </c>
      <c r="X171" s="121">
        <v>0</v>
      </c>
      <c r="Y171" s="41">
        <f t="shared" si="8"/>
        <v>0</v>
      </c>
      <c r="Z171" s="121">
        <v>0</v>
      </c>
      <c r="AA171" s="121">
        <v>0</v>
      </c>
      <c r="AB171" s="121">
        <v>0</v>
      </c>
      <c r="AC171" s="41">
        <f t="shared" si="7"/>
        <v>0</v>
      </c>
      <c r="AD171" s="121">
        <v>0</v>
      </c>
      <c r="AE171" s="121">
        <v>0</v>
      </c>
      <c r="AF171" s="121">
        <v>0</v>
      </c>
      <c r="AG171" s="121">
        <v>0</v>
      </c>
    </row>
    <row r="172" spans="2:33" ht="14.25" customHeight="1">
      <c r="B172" s="25" t="s">
        <v>550</v>
      </c>
      <c r="C172" s="26" t="s">
        <v>551</v>
      </c>
      <c r="D172" s="121">
        <v>0</v>
      </c>
      <c r="E172" s="121">
        <v>0</v>
      </c>
      <c r="F172" s="121">
        <v>0</v>
      </c>
      <c r="G172" s="121">
        <v>0</v>
      </c>
      <c r="H172" s="121">
        <v>0</v>
      </c>
      <c r="I172" s="121">
        <v>0</v>
      </c>
      <c r="J172" s="121">
        <v>0</v>
      </c>
      <c r="K172" s="121">
        <v>0</v>
      </c>
      <c r="L172" s="121">
        <v>0</v>
      </c>
      <c r="M172" s="121">
        <v>0</v>
      </c>
      <c r="N172" s="121">
        <v>0</v>
      </c>
      <c r="O172" s="121">
        <v>0</v>
      </c>
      <c r="P172" s="121">
        <v>0</v>
      </c>
      <c r="Q172" s="41">
        <f t="shared" si="5"/>
        <v>0</v>
      </c>
      <c r="R172" s="121">
        <v>0</v>
      </c>
      <c r="S172" s="121">
        <v>0</v>
      </c>
      <c r="T172" s="121">
        <v>0</v>
      </c>
      <c r="U172" s="121">
        <v>0</v>
      </c>
      <c r="V172" s="121">
        <v>0</v>
      </c>
      <c r="W172" s="41">
        <f t="shared" si="6"/>
        <v>0</v>
      </c>
      <c r="X172" s="121">
        <v>0</v>
      </c>
      <c r="Y172" s="41">
        <f t="shared" si="8"/>
        <v>0</v>
      </c>
      <c r="Z172" s="121">
        <v>0</v>
      </c>
      <c r="AA172" s="121">
        <v>0</v>
      </c>
      <c r="AB172" s="121">
        <v>0</v>
      </c>
      <c r="AC172" s="41">
        <f t="shared" si="7"/>
        <v>0</v>
      </c>
      <c r="AD172" s="121">
        <v>0</v>
      </c>
      <c r="AE172" s="121">
        <v>0</v>
      </c>
      <c r="AF172" s="121">
        <v>0</v>
      </c>
      <c r="AG172" s="121">
        <v>0</v>
      </c>
    </row>
    <row r="173" spans="2:33" ht="14.25" customHeight="1">
      <c r="B173" s="25" t="s">
        <v>552</v>
      </c>
      <c r="C173" s="26" t="s">
        <v>553</v>
      </c>
      <c r="D173" s="121">
        <v>9515203.86</v>
      </c>
      <c r="E173" s="121">
        <v>1453.73</v>
      </c>
      <c r="F173" s="121">
        <v>2582841.42</v>
      </c>
      <c r="G173" s="121">
        <v>1364.75</v>
      </c>
      <c r="H173" s="121">
        <v>1149782.09</v>
      </c>
      <c r="I173" s="121">
        <v>1364.75</v>
      </c>
      <c r="J173" s="121">
        <v>10101721.07</v>
      </c>
      <c r="K173" s="121">
        <v>587970.94</v>
      </c>
      <c r="L173" s="121">
        <v>1802539.13</v>
      </c>
      <c r="M173" s="121">
        <v>389881.21</v>
      </c>
      <c r="N173" s="121">
        <v>2475794.99</v>
      </c>
      <c r="O173" s="121">
        <v>1067401.25</v>
      </c>
      <c r="P173" s="121">
        <v>3124542.78</v>
      </c>
      <c r="Q173" s="41">
        <f t="shared" si="5"/>
        <v>1689794.19</v>
      </c>
      <c r="R173" s="121">
        <v>951237.91</v>
      </c>
      <c r="S173" s="121">
        <v>2590646.33</v>
      </c>
      <c r="T173" s="121">
        <v>2952185.23</v>
      </c>
      <c r="U173" s="121">
        <v>191276.87</v>
      </c>
      <c r="V173" s="121">
        <v>530464.73</v>
      </c>
      <c r="W173" s="41">
        <f t="shared" si="6"/>
        <v>415613.39</v>
      </c>
      <c r="X173" s="121">
        <v>5179717.07</v>
      </c>
      <c r="Y173" s="41">
        <f t="shared" si="8"/>
        <v>3489922.8800000004</v>
      </c>
      <c r="Z173" s="121">
        <v>5172575.56</v>
      </c>
      <c r="AA173" s="121">
        <v>7977447.03</v>
      </c>
      <c r="AB173" s="121">
        <v>3905536.27</v>
      </c>
      <c r="AC173" s="41">
        <f t="shared" si="7"/>
        <v>3905536.27</v>
      </c>
      <c r="AD173" s="121">
        <v>1689794.19</v>
      </c>
      <c r="AE173" s="121">
        <v>1688147.39</v>
      </c>
      <c r="AF173" s="121">
        <v>415613.39</v>
      </c>
      <c r="AG173" s="121">
        <v>415613.39</v>
      </c>
    </row>
    <row r="174" spans="2:33" ht="14.25" customHeight="1">
      <c r="B174" s="27" t="s">
        <v>554</v>
      </c>
      <c r="C174" s="28" t="s">
        <v>555</v>
      </c>
      <c r="D174" s="121">
        <v>9515203.86</v>
      </c>
      <c r="E174" s="121">
        <v>1453.73</v>
      </c>
      <c r="F174" s="121">
        <v>2582841.42</v>
      </c>
      <c r="G174" s="121">
        <v>1364.75</v>
      </c>
      <c r="H174" s="121">
        <v>1149782.09</v>
      </c>
      <c r="I174" s="121">
        <v>1364.75</v>
      </c>
      <c r="J174" s="121">
        <v>10101721.07</v>
      </c>
      <c r="K174" s="121">
        <v>587970.94</v>
      </c>
      <c r="L174" s="121">
        <v>1802539.13</v>
      </c>
      <c r="M174" s="121">
        <v>389881.21</v>
      </c>
      <c r="N174" s="121">
        <v>2475794.99</v>
      </c>
      <c r="O174" s="121">
        <v>1067401.25</v>
      </c>
      <c r="P174" s="121">
        <v>3124542.78</v>
      </c>
      <c r="Q174" s="41">
        <f t="shared" si="5"/>
        <v>1689794.19</v>
      </c>
      <c r="R174" s="121">
        <v>951237.91</v>
      </c>
      <c r="S174" s="121">
        <v>2590646.33</v>
      </c>
      <c r="T174" s="121">
        <v>2952185.23</v>
      </c>
      <c r="U174" s="121">
        <v>191276.87</v>
      </c>
      <c r="V174" s="121">
        <v>530464.73</v>
      </c>
      <c r="W174" s="41">
        <f t="shared" si="6"/>
        <v>415613.39</v>
      </c>
      <c r="X174" s="121">
        <v>5179717.07</v>
      </c>
      <c r="Y174" s="41">
        <f t="shared" si="8"/>
        <v>3489922.8800000004</v>
      </c>
      <c r="Z174" s="121">
        <v>5172575.56</v>
      </c>
      <c r="AA174" s="121">
        <v>7977447.03</v>
      </c>
      <c r="AB174" s="121">
        <v>3905536.27</v>
      </c>
      <c r="AC174" s="41">
        <f t="shared" si="7"/>
        <v>3905536.27</v>
      </c>
      <c r="AD174" s="121">
        <v>1689794.19</v>
      </c>
      <c r="AE174" s="121">
        <v>1688147.39</v>
      </c>
      <c r="AF174" s="121">
        <v>415613.39</v>
      </c>
      <c r="AG174" s="121">
        <v>415613.39</v>
      </c>
    </row>
    <row r="175" spans="2:33" ht="14.25" customHeight="1">
      <c r="B175" s="29">
        <v>1101</v>
      </c>
      <c r="C175" s="26" t="s">
        <v>556</v>
      </c>
      <c r="D175" s="121">
        <v>54443.71</v>
      </c>
      <c r="E175" s="121">
        <v>0</v>
      </c>
      <c r="F175" s="121">
        <v>53897.36</v>
      </c>
      <c r="G175" s="121">
        <v>0</v>
      </c>
      <c r="H175" s="121">
        <v>53320.86</v>
      </c>
      <c r="I175" s="121">
        <v>0</v>
      </c>
      <c r="J175" s="121">
        <v>54460.82</v>
      </c>
      <c r="K175" s="121">
        <v>17.11</v>
      </c>
      <c r="L175" s="121">
        <v>38165.96</v>
      </c>
      <c r="M175" s="121">
        <v>96632.8</v>
      </c>
      <c r="N175" s="121">
        <v>130432.78</v>
      </c>
      <c r="O175" s="121">
        <v>0</v>
      </c>
      <c r="P175" s="121">
        <v>79772.52</v>
      </c>
      <c r="Q175" s="41">
        <f t="shared" si="5"/>
        <v>0</v>
      </c>
      <c r="R175" s="121">
        <v>59284.36</v>
      </c>
      <c r="S175" s="121">
        <v>129099.72</v>
      </c>
      <c r="T175" s="121">
        <v>84641.11</v>
      </c>
      <c r="U175" s="121">
        <v>30000</v>
      </c>
      <c r="V175" s="121">
        <v>3552.64</v>
      </c>
      <c r="W175" s="41">
        <f t="shared" si="6"/>
        <v>4885.7</v>
      </c>
      <c r="X175" s="121">
        <v>83950.75</v>
      </c>
      <c r="Y175" s="41">
        <f t="shared" si="8"/>
        <v>83950.75</v>
      </c>
      <c r="Z175" s="121">
        <v>195917.16</v>
      </c>
      <c r="AA175" s="121">
        <v>170737.96</v>
      </c>
      <c r="AB175" s="121">
        <v>88836.45</v>
      </c>
      <c r="AC175" s="41">
        <f t="shared" si="7"/>
        <v>88836.45</v>
      </c>
      <c r="AD175" s="121">
        <v>0</v>
      </c>
      <c r="AE175" s="121">
        <v>0</v>
      </c>
      <c r="AF175" s="121">
        <v>4885.7</v>
      </c>
      <c r="AG175" s="121">
        <v>4885.7</v>
      </c>
    </row>
    <row r="176" spans="2:33" ht="14.25" customHeight="1">
      <c r="B176" s="29">
        <v>1102</v>
      </c>
      <c r="C176" s="26" t="s">
        <v>557</v>
      </c>
      <c r="D176" s="121">
        <v>0</v>
      </c>
      <c r="E176" s="121">
        <v>0</v>
      </c>
      <c r="F176" s="121">
        <v>0</v>
      </c>
      <c r="G176" s="121">
        <v>0</v>
      </c>
      <c r="H176" s="121">
        <v>0</v>
      </c>
      <c r="I176" s="121">
        <v>0</v>
      </c>
      <c r="J176" s="121">
        <v>0</v>
      </c>
      <c r="K176" s="121">
        <v>0</v>
      </c>
      <c r="L176" s="121">
        <v>0</v>
      </c>
      <c r="M176" s="121">
        <v>0</v>
      </c>
      <c r="N176" s="121">
        <v>0</v>
      </c>
      <c r="O176" s="121">
        <v>0</v>
      </c>
      <c r="P176" s="121">
        <v>0</v>
      </c>
      <c r="Q176" s="41">
        <f t="shared" si="5"/>
        <v>0</v>
      </c>
      <c r="R176" s="121">
        <v>0</v>
      </c>
      <c r="S176" s="121">
        <v>0</v>
      </c>
      <c r="T176" s="121">
        <v>0</v>
      </c>
      <c r="U176" s="121">
        <v>0</v>
      </c>
      <c r="V176" s="121">
        <v>0</v>
      </c>
      <c r="W176" s="41">
        <f t="shared" si="6"/>
        <v>0</v>
      </c>
      <c r="X176" s="121">
        <v>0</v>
      </c>
      <c r="Y176" s="41">
        <f t="shared" si="8"/>
        <v>0</v>
      </c>
      <c r="Z176" s="121">
        <v>0</v>
      </c>
      <c r="AA176" s="121">
        <v>0</v>
      </c>
      <c r="AB176" s="121">
        <v>0</v>
      </c>
      <c r="AC176" s="41">
        <f t="shared" si="7"/>
        <v>0</v>
      </c>
      <c r="AD176" s="121">
        <v>0</v>
      </c>
      <c r="AE176" s="121">
        <v>0</v>
      </c>
      <c r="AF176" s="121">
        <v>0</v>
      </c>
      <c r="AG176" s="121">
        <v>0</v>
      </c>
    </row>
    <row r="177" spans="2:33" ht="14.25" customHeight="1">
      <c r="B177" s="27" t="s">
        <v>558</v>
      </c>
      <c r="C177" s="28" t="s">
        <v>559</v>
      </c>
      <c r="D177" s="121">
        <v>54443.71</v>
      </c>
      <c r="E177" s="121">
        <v>0</v>
      </c>
      <c r="F177" s="121">
        <v>53897.36</v>
      </c>
      <c r="G177" s="121">
        <v>0</v>
      </c>
      <c r="H177" s="121">
        <v>53320.86</v>
      </c>
      <c r="I177" s="121">
        <v>0</v>
      </c>
      <c r="J177" s="121">
        <v>54460.82</v>
      </c>
      <c r="K177" s="121">
        <v>17.11</v>
      </c>
      <c r="L177" s="121">
        <v>38165.96</v>
      </c>
      <c r="M177" s="121">
        <v>96632.8</v>
      </c>
      <c r="N177" s="121">
        <v>130432.78</v>
      </c>
      <c r="O177" s="121">
        <v>0</v>
      </c>
      <c r="P177" s="121">
        <v>79772.52</v>
      </c>
      <c r="Q177" s="41">
        <f t="shared" si="5"/>
        <v>0</v>
      </c>
      <c r="R177" s="121">
        <v>59284.36</v>
      </c>
      <c r="S177" s="121">
        <v>129099.72</v>
      </c>
      <c r="T177" s="121">
        <v>84641.11</v>
      </c>
      <c r="U177" s="121">
        <v>30000</v>
      </c>
      <c r="V177" s="121">
        <v>3552.64</v>
      </c>
      <c r="W177" s="41">
        <f t="shared" si="6"/>
        <v>4885.7</v>
      </c>
      <c r="X177" s="121">
        <v>83950.75</v>
      </c>
      <c r="Y177" s="41">
        <f t="shared" si="8"/>
        <v>83950.75</v>
      </c>
      <c r="Z177" s="121">
        <v>195917.16</v>
      </c>
      <c r="AA177" s="121">
        <v>170737.96</v>
      </c>
      <c r="AB177" s="121">
        <v>88836.45</v>
      </c>
      <c r="AC177" s="41">
        <f t="shared" si="7"/>
        <v>88836.45</v>
      </c>
      <c r="AD177" s="121">
        <v>0</v>
      </c>
      <c r="AE177" s="121">
        <v>0</v>
      </c>
      <c r="AF177" s="121">
        <v>4885.7</v>
      </c>
      <c r="AG177" s="121">
        <v>4885.7</v>
      </c>
    </row>
    <row r="178" spans="2:33" ht="14.25" customHeight="1">
      <c r="B178" s="25" t="s">
        <v>560</v>
      </c>
      <c r="C178" s="26" t="s">
        <v>561</v>
      </c>
      <c r="D178" s="121">
        <v>766216.69</v>
      </c>
      <c r="E178" s="121">
        <v>4255.4</v>
      </c>
      <c r="F178" s="121">
        <v>742283.62</v>
      </c>
      <c r="G178" s="121">
        <v>3888.43</v>
      </c>
      <c r="H178" s="121">
        <v>627916.65</v>
      </c>
      <c r="I178" s="121">
        <v>3888.43</v>
      </c>
      <c r="J178" s="121">
        <v>907480.85</v>
      </c>
      <c r="K178" s="121">
        <v>145519.56</v>
      </c>
      <c r="L178" s="121">
        <v>710214.15</v>
      </c>
      <c r="M178" s="121">
        <v>6797.4</v>
      </c>
      <c r="N178" s="121">
        <v>696968.1</v>
      </c>
      <c r="O178" s="121">
        <v>6290.92</v>
      </c>
      <c r="P178" s="121">
        <v>846169.58</v>
      </c>
      <c r="Q178" s="41">
        <f t="shared" si="5"/>
        <v>6170.35</v>
      </c>
      <c r="R178" s="121">
        <v>604640.92</v>
      </c>
      <c r="S178" s="121">
        <v>751827.33</v>
      </c>
      <c r="T178" s="121">
        <v>765097.09</v>
      </c>
      <c r="U178" s="121">
        <v>43998.52</v>
      </c>
      <c r="V178" s="121">
        <v>119306.3</v>
      </c>
      <c r="W178" s="41">
        <f t="shared" si="6"/>
        <v>64447.07</v>
      </c>
      <c r="X178" s="121">
        <v>856214.88</v>
      </c>
      <c r="Y178" s="41">
        <f t="shared" si="8"/>
        <v>850044.53</v>
      </c>
      <c r="Z178" s="121">
        <v>805965.47</v>
      </c>
      <c r="AA178" s="121">
        <v>881406.72</v>
      </c>
      <c r="AB178" s="121">
        <v>914491.6</v>
      </c>
      <c r="AC178" s="41">
        <f t="shared" si="7"/>
        <v>914491.6</v>
      </c>
      <c r="AD178" s="121">
        <v>6170.35</v>
      </c>
      <c r="AE178" s="121">
        <v>0</v>
      </c>
      <c r="AF178" s="121">
        <v>64447.07</v>
      </c>
      <c r="AG178" s="121">
        <v>64447.07</v>
      </c>
    </row>
    <row r="179" spans="2:33" ht="14.25" customHeight="1">
      <c r="B179" s="25" t="s">
        <v>562</v>
      </c>
      <c r="C179" s="26" t="s">
        <v>563</v>
      </c>
      <c r="D179" s="121">
        <v>5980900</v>
      </c>
      <c r="E179" s="121">
        <v>0</v>
      </c>
      <c r="F179" s="121">
        <v>5980900</v>
      </c>
      <c r="G179" s="121">
        <v>0</v>
      </c>
      <c r="H179" s="121">
        <v>5980900</v>
      </c>
      <c r="I179" s="121">
        <v>0</v>
      </c>
      <c r="J179" s="121">
        <v>6689465.84</v>
      </c>
      <c r="K179" s="121">
        <v>708565.84</v>
      </c>
      <c r="L179" s="121">
        <v>5645804.92</v>
      </c>
      <c r="M179" s="121">
        <v>0</v>
      </c>
      <c r="N179" s="121">
        <v>5621036.94</v>
      </c>
      <c r="O179" s="121">
        <v>0</v>
      </c>
      <c r="P179" s="121">
        <v>5571679.54</v>
      </c>
      <c r="Q179" s="41">
        <f t="shared" si="5"/>
        <v>0</v>
      </c>
      <c r="R179" s="121">
        <v>5571663.79</v>
      </c>
      <c r="S179" s="121">
        <v>5569091.98</v>
      </c>
      <c r="T179" s="121">
        <v>5995092.37</v>
      </c>
      <c r="U179" s="121">
        <v>1011074.88</v>
      </c>
      <c r="V179" s="121">
        <v>1080033.71</v>
      </c>
      <c r="W179" s="41">
        <f t="shared" si="6"/>
        <v>1131978.67</v>
      </c>
      <c r="X179" s="121">
        <v>6187270.66</v>
      </c>
      <c r="Y179" s="41">
        <f t="shared" si="8"/>
        <v>6187270.66</v>
      </c>
      <c r="Z179" s="121">
        <v>9811022.74</v>
      </c>
      <c r="AA179" s="121">
        <v>7910670.68</v>
      </c>
      <c r="AB179" s="121">
        <v>7319249.33</v>
      </c>
      <c r="AC179" s="41">
        <f t="shared" si="7"/>
        <v>7319249.33</v>
      </c>
      <c r="AD179" s="121">
        <v>0</v>
      </c>
      <c r="AE179" s="121">
        <v>0</v>
      </c>
      <c r="AF179" s="121">
        <v>1131978.67</v>
      </c>
      <c r="AG179" s="121">
        <v>1131978.67</v>
      </c>
    </row>
    <row r="180" spans="2:33" ht="14.25" customHeight="1">
      <c r="B180" s="25" t="s">
        <v>564</v>
      </c>
      <c r="C180" s="26" t="s">
        <v>565</v>
      </c>
      <c r="D180" s="121">
        <v>2708983.3</v>
      </c>
      <c r="E180" s="121">
        <v>15645.97</v>
      </c>
      <c r="F180" s="121">
        <v>2671496.07</v>
      </c>
      <c r="G180" s="121">
        <v>14885.94</v>
      </c>
      <c r="H180" s="121">
        <v>2615646.96</v>
      </c>
      <c r="I180" s="121">
        <v>14885.94</v>
      </c>
      <c r="J180" s="121">
        <v>3404047.64</v>
      </c>
      <c r="K180" s="121">
        <v>710710.31</v>
      </c>
      <c r="L180" s="121">
        <v>4074568.46</v>
      </c>
      <c r="M180" s="121">
        <v>359922.77</v>
      </c>
      <c r="N180" s="121">
        <v>3792058.77</v>
      </c>
      <c r="O180" s="121">
        <v>111252.28</v>
      </c>
      <c r="P180" s="121">
        <v>3325364.2</v>
      </c>
      <c r="Q180" s="41">
        <f t="shared" si="5"/>
        <v>20812.55</v>
      </c>
      <c r="R180" s="121">
        <v>4160641.74</v>
      </c>
      <c r="S180" s="121">
        <v>3703516.21</v>
      </c>
      <c r="T180" s="121">
        <v>3390902.99</v>
      </c>
      <c r="U180" s="121">
        <v>865124.32</v>
      </c>
      <c r="V180" s="121">
        <v>687706.54</v>
      </c>
      <c r="W180" s="41">
        <f t="shared" si="6"/>
        <v>776249.1</v>
      </c>
      <c r="X180" s="121">
        <v>3412501.33</v>
      </c>
      <c r="Y180" s="41">
        <f t="shared" si="8"/>
        <v>3391688.7800000003</v>
      </c>
      <c r="Z180" s="121">
        <v>5781500.68</v>
      </c>
      <c r="AA180" s="121">
        <v>5008909.61</v>
      </c>
      <c r="AB180" s="121">
        <v>4167937.88</v>
      </c>
      <c r="AC180" s="41">
        <f t="shared" si="7"/>
        <v>4167937.88</v>
      </c>
      <c r="AD180" s="121">
        <v>20812.55</v>
      </c>
      <c r="AE180" s="121">
        <v>0</v>
      </c>
      <c r="AF180" s="121">
        <v>776249.1</v>
      </c>
      <c r="AG180" s="121">
        <v>776249.1</v>
      </c>
    </row>
    <row r="181" spans="2:33" ht="14.25" customHeight="1">
      <c r="B181" s="25" t="s">
        <v>566</v>
      </c>
      <c r="C181" s="26" t="s">
        <v>567</v>
      </c>
      <c r="D181" s="121">
        <v>1935963.79</v>
      </c>
      <c r="E181" s="121">
        <v>27189.45</v>
      </c>
      <c r="F181" s="121">
        <v>1938341.42</v>
      </c>
      <c r="G181" s="121">
        <v>26225.53</v>
      </c>
      <c r="H181" s="121">
        <v>1937377.5</v>
      </c>
      <c r="I181" s="121">
        <v>26225.53</v>
      </c>
      <c r="J181" s="121">
        <v>2643656.54</v>
      </c>
      <c r="K181" s="121">
        <v>734882.2</v>
      </c>
      <c r="L181" s="121">
        <v>2059200.56</v>
      </c>
      <c r="M181" s="121">
        <v>31492.38</v>
      </c>
      <c r="N181" s="121">
        <v>2156680.59</v>
      </c>
      <c r="O181" s="121">
        <v>30067.1</v>
      </c>
      <c r="P181" s="121">
        <v>2514440.7</v>
      </c>
      <c r="Q181" s="41">
        <f t="shared" si="5"/>
        <v>29766.91</v>
      </c>
      <c r="R181" s="121">
        <v>2200155.48</v>
      </c>
      <c r="S181" s="121">
        <v>2078500.84</v>
      </c>
      <c r="T181" s="121">
        <v>2143599.37</v>
      </c>
      <c r="U181" s="121">
        <v>433081.9</v>
      </c>
      <c r="V181" s="121">
        <v>285861.12</v>
      </c>
      <c r="W181" s="41">
        <f t="shared" si="6"/>
        <v>364040.87</v>
      </c>
      <c r="X181" s="121">
        <v>2700562.26</v>
      </c>
      <c r="Y181" s="41">
        <f t="shared" si="8"/>
        <v>2670795.3499999996</v>
      </c>
      <c r="Z181" s="121">
        <v>3908282.08</v>
      </c>
      <c r="AA181" s="121">
        <v>3048121.87</v>
      </c>
      <c r="AB181" s="121">
        <v>3034836.22</v>
      </c>
      <c r="AC181" s="41">
        <f t="shared" si="7"/>
        <v>3034836.22</v>
      </c>
      <c r="AD181" s="121">
        <v>29766.91</v>
      </c>
      <c r="AE181" s="121">
        <v>0</v>
      </c>
      <c r="AF181" s="121">
        <v>364040.87</v>
      </c>
      <c r="AG181" s="121">
        <v>364040.87</v>
      </c>
    </row>
    <row r="182" spans="2:33" ht="14.25" customHeight="1">
      <c r="B182" s="25" t="s">
        <v>568</v>
      </c>
      <c r="C182" s="26" t="s">
        <v>569</v>
      </c>
      <c r="D182" s="121">
        <v>245928.83</v>
      </c>
      <c r="E182" s="121">
        <v>0</v>
      </c>
      <c r="F182" s="121">
        <v>128326.46</v>
      </c>
      <c r="G182" s="121">
        <v>0</v>
      </c>
      <c r="H182" s="121">
        <v>128326.46</v>
      </c>
      <c r="I182" s="121">
        <v>0</v>
      </c>
      <c r="J182" s="121">
        <v>335124.82</v>
      </c>
      <c r="K182" s="121">
        <v>89195.99</v>
      </c>
      <c r="L182" s="121">
        <v>34285.8</v>
      </c>
      <c r="M182" s="121">
        <v>0</v>
      </c>
      <c r="N182" s="121">
        <v>38487.6</v>
      </c>
      <c r="O182" s="121">
        <v>0</v>
      </c>
      <c r="P182" s="121">
        <v>169606.11</v>
      </c>
      <c r="Q182" s="41">
        <f t="shared" si="5"/>
        <v>0</v>
      </c>
      <c r="R182" s="121">
        <v>36342.6</v>
      </c>
      <c r="S182" s="121">
        <v>30719.6</v>
      </c>
      <c r="T182" s="121">
        <v>90838.92</v>
      </c>
      <c r="U182" s="121">
        <v>4717.6</v>
      </c>
      <c r="V182" s="121">
        <v>2660.8</v>
      </c>
      <c r="W182" s="41">
        <f t="shared" si="6"/>
        <v>10428.8</v>
      </c>
      <c r="X182" s="121">
        <v>201000</v>
      </c>
      <c r="Y182" s="41">
        <f t="shared" si="8"/>
        <v>201000</v>
      </c>
      <c r="Z182" s="121">
        <v>42517.6</v>
      </c>
      <c r="AA182" s="121">
        <v>42660.8</v>
      </c>
      <c r="AB182" s="121">
        <v>211428.8</v>
      </c>
      <c r="AC182" s="41">
        <f t="shared" si="7"/>
        <v>211428.8</v>
      </c>
      <c r="AD182" s="121">
        <v>0</v>
      </c>
      <c r="AE182" s="121">
        <v>0</v>
      </c>
      <c r="AF182" s="121">
        <v>10428.8</v>
      </c>
      <c r="AG182" s="121">
        <v>10428.8</v>
      </c>
    </row>
    <row r="183" spans="2:33" ht="14.25" customHeight="1">
      <c r="B183" s="25" t="s">
        <v>570</v>
      </c>
      <c r="C183" s="26" t="s">
        <v>571</v>
      </c>
      <c r="D183" s="121">
        <v>125000</v>
      </c>
      <c r="E183" s="121">
        <v>0</v>
      </c>
      <c r="F183" s="121">
        <v>25000</v>
      </c>
      <c r="G183" s="121">
        <v>0</v>
      </c>
      <c r="H183" s="121">
        <v>25000</v>
      </c>
      <c r="I183" s="121">
        <v>0</v>
      </c>
      <c r="J183" s="121">
        <v>69203.03</v>
      </c>
      <c r="K183" s="121">
        <v>44203.03</v>
      </c>
      <c r="L183" s="121">
        <v>47759.03</v>
      </c>
      <c r="M183" s="121">
        <v>0</v>
      </c>
      <c r="N183" s="121">
        <v>78849.17</v>
      </c>
      <c r="O183" s="121">
        <v>0</v>
      </c>
      <c r="P183" s="121">
        <v>81064.7</v>
      </c>
      <c r="Q183" s="41">
        <f t="shared" si="5"/>
        <v>0</v>
      </c>
      <c r="R183" s="121">
        <v>23825</v>
      </c>
      <c r="S183" s="121">
        <v>64910.83</v>
      </c>
      <c r="T183" s="121">
        <v>74734.04</v>
      </c>
      <c r="U183" s="121">
        <v>0</v>
      </c>
      <c r="V183" s="121">
        <v>23934.03</v>
      </c>
      <c r="W183" s="41">
        <f t="shared" si="6"/>
        <v>37872.37</v>
      </c>
      <c r="X183" s="121">
        <v>122000</v>
      </c>
      <c r="Y183" s="41">
        <f t="shared" si="8"/>
        <v>122000</v>
      </c>
      <c r="Z183" s="121">
        <v>147650</v>
      </c>
      <c r="AA183" s="121">
        <v>225600</v>
      </c>
      <c r="AB183" s="121">
        <v>159872.37</v>
      </c>
      <c r="AC183" s="41">
        <f t="shared" si="7"/>
        <v>159872.37</v>
      </c>
      <c r="AD183" s="121">
        <v>0</v>
      </c>
      <c r="AE183" s="121">
        <v>0</v>
      </c>
      <c r="AF183" s="121">
        <v>37872.37</v>
      </c>
      <c r="AG183" s="121">
        <v>37872.37</v>
      </c>
    </row>
    <row r="184" spans="2:33" ht="14.25" customHeight="1">
      <c r="B184" s="25" t="s">
        <v>572</v>
      </c>
      <c r="C184" s="26" t="s">
        <v>573</v>
      </c>
      <c r="D184" s="121">
        <v>180940</v>
      </c>
      <c r="E184" s="121">
        <v>0</v>
      </c>
      <c r="F184" s="121">
        <v>180940</v>
      </c>
      <c r="G184" s="121">
        <v>0</v>
      </c>
      <c r="H184" s="121">
        <v>180940</v>
      </c>
      <c r="I184" s="121">
        <v>0</v>
      </c>
      <c r="J184" s="121">
        <v>228053.91</v>
      </c>
      <c r="K184" s="121">
        <v>47113.91</v>
      </c>
      <c r="L184" s="121">
        <v>60198.71</v>
      </c>
      <c r="M184" s="121">
        <v>0</v>
      </c>
      <c r="N184" s="121">
        <v>269509.19</v>
      </c>
      <c r="O184" s="121">
        <v>0</v>
      </c>
      <c r="P184" s="121">
        <v>178220.46</v>
      </c>
      <c r="Q184" s="41">
        <f t="shared" si="5"/>
        <v>0</v>
      </c>
      <c r="R184" s="121">
        <v>46130.13</v>
      </c>
      <c r="S184" s="121">
        <v>236076.13</v>
      </c>
      <c r="T184" s="121">
        <v>196651.6</v>
      </c>
      <c r="U184" s="121">
        <v>22084.27</v>
      </c>
      <c r="V184" s="121">
        <v>32111.99</v>
      </c>
      <c r="W184" s="41">
        <f t="shared" si="6"/>
        <v>65545.05</v>
      </c>
      <c r="X184" s="121">
        <v>178440</v>
      </c>
      <c r="Y184" s="41">
        <f t="shared" si="8"/>
        <v>178440</v>
      </c>
      <c r="Z184" s="121">
        <v>100755.57</v>
      </c>
      <c r="AA184" s="121">
        <v>311050.55</v>
      </c>
      <c r="AB184" s="121">
        <v>243985.05</v>
      </c>
      <c r="AC184" s="41">
        <f t="shared" si="7"/>
        <v>243985.05</v>
      </c>
      <c r="AD184" s="121">
        <v>0</v>
      </c>
      <c r="AE184" s="121">
        <v>0</v>
      </c>
      <c r="AF184" s="121">
        <v>65545.05</v>
      </c>
      <c r="AG184" s="121">
        <v>65545.05</v>
      </c>
    </row>
    <row r="185" spans="2:33" ht="14.25" customHeight="1">
      <c r="B185" s="25" t="s">
        <v>574</v>
      </c>
      <c r="C185" s="26" t="s">
        <v>575</v>
      </c>
      <c r="D185" s="121">
        <v>0</v>
      </c>
      <c r="E185" s="121">
        <v>0</v>
      </c>
      <c r="F185" s="121">
        <v>0</v>
      </c>
      <c r="G185" s="121">
        <v>0</v>
      </c>
      <c r="H185" s="121">
        <v>0</v>
      </c>
      <c r="I185" s="121">
        <v>0</v>
      </c>
      <c r="J185" s="121">
        <v>0</v>
      </c>
      <c r="K185" s="121">
        <v>0</v>
      </c>
      <c r="L185" s="121">
        <v>0</v>
      </c>
      <c r="M185" s="121">
        <v>0</v>
      </c>
      <c r="N185" s="121">
        <v>0</v>
      </c>
      <c r="O185" s="121">
        <v>0</v>
      </c>
      <c r="P185" s="121">
        <v>0</v>
      </c>
      <c r="Q185" s="41">
        <f t="shared" si="5"/>
        <v>0</v>
      </c>
      <c r="R185" s="121">
        <v>0</v>
      </c>
      <c r="S185" s="121">
        <v>0</v>
      </c>
      <c r="T185" s="121">
        <v>0</v>
      </c>
      <c r="U185" s="121">
        <v>0</v>
      </c>
      <c r="V185" s="121">
        <v>0</v>
      </c>
      <c r="W185" s="41">
        <f t="shared" si="6"/>
        <v>0</v>
      </c>
      <c r="X185" s="121">
        <v>0</v>
      </c>
      <c r="Y185" s="41">
        <f t="shared" si="8"/>
        <v>0</v>
      </c>
      <c r="Z185" s="121">
        <v>0</v>
      </c>
      <c r="AA185" s="121">
        <v>0</v>
      </c>
      <c r="AB185" s="121">
        <v>0</v>
      </c>
      <c r="AC185" s="41">
        <f t="shared" si="7"/>
        <v>0</v>
      </c>
      <c r="AD185" s="121">
        <v>0</v>
      </c>
      <c r="AE185" s="121">
        <v>0</v>
      </c>
      <c r="AF185" s="121">
        <v>0</v>
      </c>
      <c r="AG185" s="121">
        <v>0</v>
      </c>
    </row>
    <row r="186" spans="2:33" ht="14.25" customHeight="1">
      <c r="B186" s="25" t="s">
        <v>576</v>
      </c>
      <c r="C186" s="26" t="s">
        <v>577</v>
      </c>
      <c r="D186" s="121">
        <v>1202927.81</v>
      </c>
      <c r="E186" s="121">
        <v>4000.4</v>
      </c>
      <c r="F186" s="121">
        <v>405662.53</v>
      </c>
      <c r="G186" s="121">
        <v>3015.15</v>
      </c>
      <c r="H186" s="121">
        <v>404149.86</v>
      </c>
      <c r="I186" s="121">
        <v>3015.15</v>
      </c>
      <c r="J186" s="121">
        <v>1217337.33</v>
      </c>
      <c r="K186" s="121">
        <v>18409.92</v>
      </c>
      <c r="L186" s="121">
        <v>412299.5</v>
      </c>
      <c r="M186" s="121">
        <v>41989.6</v>
      </c>
      <c r="N186" s="121">
        <v>246152.66</v>
      </c>
      <c r="O186" s="121">
        <v>4831.95</v>
      </c>
      <c r="P186" s="121">
        <v>191238.74</v>
      </c>
      <c r="Q186" s="41">
        <f t="shared" si="5"/>
        <v>204306.7</v>
      </c>
      <c r="R186" s="121">
        <v>261406.41</v>
      </c>
      <c r="S186" s="121">
        <v>338471.97</v>
      </c>
      <c r="T186" s="121">
        <v>229117.64</v>
      </c>
      <c r="U186" s="121">
        <v>6534.23</v>
      </c>
      <c r="V186" s="121">
        <v>148608.13</v>
      </c>
      <c r="W186" s="41">
        <f t="shared" si="6"/>
        <v>56288.82</v>
      </c>
      <c r="X186" s="121">
        <v>483243.26</v>
      </c>
      <c r="Y186" s="41">
        <f t="shared" si="8"/>
        <v>278936.56</v>
      </c>
      <c r="Z186" s="121">
        <v>1256557.55</v>
      </c>
      <c r="AA186" s="121">
        <v>863724.57</v>
      </c>
      <c r="AB186" s="121">
        <v>335225.38</v>
      </c>
      <c r="AC186" s="41">
        <f t="shared" si="7"/>
        <v>335225.38</v>
      </c>
      <c r="AD186" s="121">
        <v>204306.7</v>
      </c>
      <c r="AE186" s="121">
        <v>199775</v>
      </c>
      <c r="AF186" s="121">
        <v>56288.82</v>
      </c>
      <c r="AG186" s="121">
        <v>56288.82</v>
      </c>
    </row>
    <row r="187" spans="2:33" ht="14.25" customHeight="1">
      <c r="B187" s="27" t="s">
        <v>578</v>
      </c>
      <c r="C187" s="28" t="s">
        <v>579</v>
      </c>
      <c r="D187" s="121">
        <v>13146860.42</v>
      </c>
      <c r="E187" s="121">
        <v>51091.22</v>
      </c>
      <c r="F187" s="121">
        <v>12072950.1</v>
      </c>
      <c r="G187" s="121">
        <v>48015.05</v>
      </c>
      <c r="H187" s="121">
        <v>11900257.43</v>
      </c>
      <c r="I187" s="121">
        <v>48015.05</v>
      </c>
      <c r="J187" s="121">
        <v>15494369.96</v>
      </c>
      <c r="K187" s="121">
        <v>2498600.76</v>
      </c>
      <c r="L187" s="121">
        <v>13044331.13</v>
      </c>
      <c r="M187" s="121">
        <v>440202.15</v>
      </c>
      <c r="N187" s="121">
        <v>12899743.02</v>
      </c>
      <c r="O187" s="121">
        <v>152442.25</v>
      </c>
      <c r="P187" s="121">
        <v>12877784.03</v>
      </c>
      <c r="Q187" s="41">
        <f t="shared" si="5"/>
        <v>261056.51</v>
      </c>
      <c r="R187" s="121">
        <v>12904806.07</v>
      </c>
      <c r="S187" s="121">
        <v>12773114.89</v>
      </c>
      <c r="T187" s="121">
        <v>12886034.02</v>
      </c>
      <c r="U187" s="121">
        <v>2386615.72</v>
      </c>
      <c r="V187" s="121">
        <v>2380222.62</v>
      </c>
      <c r="W187" s="41">
        <f t="shared" si="6"/>
        <v>2506850.75</v>
      </c>
      <c r="X187" s="121">
        <v>14141232.39</v>
      </c>
      <c r="Y187" s="41">
        <f t="shared" si="8"/>
        <v>13880175.88</v>
      </c>
      <c r="Z187" s="121">
        <v>21854251.69</v>
      </c>
      <c r="AA187" s="121">
        <v>18292144.8</v>
      </c>
      <c r="AB187" s="121">
        <v>16387026.63</v>
      </c>
      <c r="AC187" s="41">
        <f t="shared" si="7"/>
        <v>16387026.63</v>
      </c>
      <c r="AD187" s="121">
        <v>261056.51</v>
      </c>
      <c r="AE187" s="121">
        <v>199775</v>
      </c>
      <c r="AF187" s="121">
        <v>2506850.75</v>
      </c>
      <c r="AG187" s="121">
        <v>2506850.75</v>
      </c>
    </row>
    <row r="188" spans="2:33" ht="14.25" customHeight="1">
      <c r="B188" s="25" t="s">
        <v>580</v>
      </c>
      <c r="C188" s="26" t="s">
        <v>581</v>
      </c>
      <c r="D188" s="121">
        <v>0</v>
      </c>
      <c r="E188" s="121">
        <v>0</v>
      </c>
      <c r="F188" s="121">
        <v>0</v>
      </c>
      <c r="G188" s="121">
        <v>0</v>
      </c>
      <c r="H188" s="121">
        <v>0</v>
      </c>
      <c r="I188" s="121">
        <v>0</v>
      </c>
      <c r="J188" s="121">
        <v>0</v>
      </c>
      <c r="K188" s="121">
        <v>0</v>
      </c>
      <c r="L188" s="121">
        <v>0</v>
      </c>
      <c r="M188" s="121">
        <v>0</v>
      </c>
      <c r="N188" s="121">
        <v>0</v>
      </c>
      <c r="O188" s="121">
        <v>0</v>
      </c>
      <c r="P188" s="121">
        <v>0</v>
      </c>
      <c r="Q188" s="41">
        <f t="shared" si="5"/>
        <v>0</v>
      </c>
      <c r="R188" s="121">
        <v>0</v>
      </c>
      <c r="S188" s="121">
        <v>0</v>
      </c>
      <c r="T188" s="121">
        <v>0</v>
      </c>
      <c r="U188" s="121">
        <v>0</v>
      </c>
      <c r="V188" s="121">
        <v>0</v>
      </c>
      <c r="W188" s="41">
        <f t="shared" si="6"/>
        <v>0</v>
      </c>
      <c r="X188" s="121">
        <v>0</v>
      </c>
      <c r="Y188" s="41">
        <f t="shared" si="8"/>
        <v>0</v>
      </c>
      <c r="Z188" s="121">
        <v>0</v>
      </c>
      <c r="AA188" s="121">
        <v>0</v>
      </c>
      <c r="AB188" s="121">
        <v>0</v>
      </c>
      <c r="AC188" s="41">
        <f t="shared" si="7"/>
        <v>0</v>
      </c>
      <c r="AD188" s="121">
        <v>0</v>
      </c>
      <c r="AE188" s="121">
        <v>0</v>
      </c>
      <c r="AF188" s="121">
        <v>0</v>
      </c>
      <c r="AG188" s="121">
        <v>0</v>
      </c>
    </row>
    <row r="189" spans="2:33" ht="14.25" customHeight="1">
      <c r="B189" s="25" t="s">
        <v>582</v>
      </c>
      <c r="C189" s="26" t="s">
        <v>583</v>
      </c>
      <c r="D189" s="121">
        <v>0</v>
      </c>
      <c r="E189" s="121">
        <v>0</v>
      </c>
      <c r="F189" s="121">
        <v>0</v>
      </c>
      <c r="G189" s="121">
        <v>0</v>
      </c>
      <c r="H189" s="121">
        <v>0</v>
      </c>
      <c r="I189" s="121">
        <v>0</v>
      </c>
      <c r="J189" s="121">
        <v>0</v>
      </c>
      <c r="K189" s="121">
        <v>0</v>
      </c>
      <c r="L189" s="121">
        <v>0</v>
      </c>
      <c r="M189" s="121">
        <v>0</v>
      </c>
      <c r="N189" s="121">
        <v>0</v>
      </c>
      <c r="O189" s="121">
        <v>0</v>
      </c>
      <c r="P189" s="121">
        <v>0</v>
      </c>
      <c r="Q189" s="41">
        <f aca="true" t="shared" si="9" ref="Q189:Q228">IF($D$239=1,(AE189+0),(AD189+0))</f>
        <v>0</v>
      </c>
      <c r="R189" s="121">
        <v>0</v>
      </c>
      <c r="S189" s="121">
        <v>0</v>
      </c>
      <c r="T189" s="121">
        <v>0</v>
      </c>
      <c r="U189" s="121">
        <v>0</v>
      </c>
      <c r="V189" s="121">
        <v>0</v>
      </c>
      <c r="W189" s="41">
        <f aca="true" t="shared" si="10" ref="W189:W225">IF($D$239=1,AF189,(AG189+0))</f>
        <v>0</v>
      </c>
      <c r="X189" s="121">
        <v>0</v>
      </c>
      <c r="Y189" s="41">
        <f t="shared" si="8"/>
        <v>0</v>
      </c>
      <c r="Z189" s="121">
        <v>0</v>
      </c>
      <c r="AA189" s="121">
        <v>0</v>
      </c>
      <c r="AB189" s="121">
        <v>0</v>
      </c>
      <c r="AC189" s="41">
        <f aca="true" t="shared" si="11" ref="AC189:AC225">IF($D$239=1,T189,(AB189+0))</f>
        <v>0</v>
      </c>
      <c r="AD189" s="121">
        <v>0</v>
      </c>
      <c r="AE189" s="121">
        <v>0</v>
      </c>
      <c r="AF189" s="121">
        <v>0</v>
      </c>
      <c r="AG189" s="121">
        <v>0</v>
      </c>
    </row>
    <row r="190" spans="2:33" ht="14.25" customHeight="1">
      <c r="B190" s="25" t="s">
        <v>584</v>
      </c>
      <c r="C190" s="26" t="s">
        <v>585</v>
      </c>
      <c r="D190" s="121">
        <v>0</v>
      </c>
      <c r="E190" s="121">
        <v>0</v>
      </c>
      <c r="F190" s="121">
        <v>0</v>
      </c>
      <c r="G190" s="121">
        <v>0</v>
      </c>
      <c r="H190" s="121">
        <v>0</v>
      </c>
      <c r="I190" s="121">
        <v>0</v>
      </c>
      <c r="J190" s="121">
        <v>0</v>
      </c>
      <c r="K190" s="121">
        <v>0</v>
      </c>
      <c r="L190" s="121">
        <v>0</v>
      </c>
      <c r="M190" s="121">
        <v>0</v>
      </c>
      <c r="N190" s="121">
        <v>0</v>
      </c>
      <c r="O190" s="121">
        <v>0</v>
      </c>
      <c r="P190" s="121">
        <v>0</v>
      </c>
      <c r="Q190" s="41">
        <f t="shared" si="9"/>
        <v>0</v>
      </c>
      <c r="R190" s="121">
        <v>0</v>
      </c>
      <c r="S190" s="121">
        <v>0</v>
      </c>
      <c r="T190" s="121">
        <v>0</v>
      </c>
      <c r="U190" s="121">
        <v>0</v>
      </c>
      <c r="V190" s="121">
        <v>0</v>
      </c>
      <c r="W190" s="41">
        <f t="shared" si="10"/>
        <v>0</v>
      </c>
      <c r="X190" s="121">
        <v>0</v>
      </c>
      <c r="Y190" s="41">
        <f aca="true" t="shared" si="12" ref="Y190:Y228">IF($D$239=1,P190,(X190-AD190))</f>
        <v>0</v>
      </c>
      <c r="Z190" s="121">
        <v>0</v>
      </c>
      <c r="AA190" s="121">
        <v>0</v>
      </c>
      <c r="AB190" s="121">
        <v>0</v>
      </c>
      <c r="AC190" s="41">
        <f t="shared" si="11"/>
        <v>0</v>
      </c>
      <c r="AD190" s="121">
        <v>0</v>
      </c>
      <c r="AE190" s="121">
        <v>0</v>
      </c>
      <c r="AF190" s="121">
        <v>0</v>
      </c>
      <c r="AG190" s="121">
        <v>0</v>
      </c>
    </row>
    <row r="191" spans="2:33" ht="14.25" customHeight="1">
      <c r="B191" s="25" t="s">
        <v>586</v>
      </c>
      <c r="C191" s="26" t="s">
        <v>587</v>
      </c>
      <c r="D191" s="121">
        <v>0</v>
      </c>
      <c r="E191" s="121">
        <v>0</v>
      </c>
      <c r="F191" s="121">
        <v>0</v>
      </c>
      <c r="G191" s="121">
        <v>0</v>
      </c>
      <c r="H191" s="121">
        <v>0</v>
      </c>
      <c r="I191" s="121">
        <v>0</v>
      </c>
      <c r="J191" s="121">
        <v>0</v>
      </c>
      <c r="K191" s="121">
        <v>0</v>
      </c>
      <c r="L191" s="121">
        <v>0</v>
      </c>
      <c r="M191" s="121">
        <v>0</v>
      </c>
      <c r="N191" s="121">
        <v>0</v>
      </c>
      <c r="O191" s="121">
        <v>0</v>
      </c>
      <c r="P191" s="121">
        <v>0</v>
      </c>
      <c r="Q191" s="41">
        <f t="shared" si="9"/>
        <v>0</v>
      </c>
      <c r="R191" s="121">
        <v>0</v>
      </c>
      <c r="S191" s="121">
        <v>0</v>
      </c>
      <c r="T191" s="121">
        <v>0</v>
      </c>
      <c r="U191" s="121">
        <v>0</v>
      </c>
      <c r="V191" s="121">
        <v>0</v>
      </c>
      <c r="W191" s="41">
        <f t="shared" si="10"/>
        <v>0</v>
      </c>
      <c r="X191" s="121">
        <v>0</v>
      </c>
      <c r="Y191" s="41">
        <f t="shared" si="12"/>
        <v>0</v>
      </c>
      <c r="Z191" s="121">
        <v>0</v>
      </c>
      <c r="AA191" s="121">
        <v>0</v>
      </c>
      <c r="AB191" s="121">
        <v>0</v>
      </c>
      <c r="AC191" s="41">
        <f t="shared" si="11"/>
        <v>0</v>
      </c>
      <c r="AD191" s="121">
        <v>0</v>
      </c>
      <c r="AE191" s="121">
        <v>0</v>
      </c>
      <c r="AF191" s="121">
        <v>0</v>
      </c>
      <c r="AG191" s="121">
        <v>0</v>
      </c>
    </row>
    <row r="192" spans="2:33" ht="14.25" customHeight="1">
      <c r="B192" s="25" t="s">
        <v>588</v>
      </c>
      <c r="C192" s="26" t="s">
        <v>589</v>
      </c>
      <c r="D192" s="121">
        <v>0</v>
      </c>
      <c r="E192" s="121">
        <v>0</v>
      </c>
      <c r="F192" s="121">
        <v>0</v>
      </c>
      <c r="G192" s="121">
        <v>0</v>
      </c>
      <c r="H192" s="121">
        <v>0</v>
      </c>
      <c r="I192" s="121">
        <v>0</v>
      </c>
      <c r="J192" s="121">
        <v>0</v>
      </c>
      <c r="K192" s="121">
        <v>0</v>
      </c>
      <c r="L192" s="121">
        <v>0</v>
      </c>
      <c r="M192" s="121">
        <v>0</v>
      </c>
      <c r="N192" s="121">
        <v>0</v>
      </c>
      <c r="O192" s="121">
        <v>0</v>
      </c>
      <c r="P192" s="121">
        <v>0</v>
      </c>
      <c r="Q192" s="41">
        <f t="shared" si="9"/>
        <v>0</v>
      </c>
      <c r="R192" s="121">
        <v>0</v>
      </c>
      <c r="S192" s="121">
        <v>0</v>
      </c>
      <c r="T192" s="121">
        <v>0</v>
      </c>
      <c r="U192" s="121">
        <v>0</v>
      </c>
      <c r="V192" s="121">
        <v>0</v>
      </c>
      <c r="W192" s="41">
        <f t="shared" si="10"/>
        <v>0</v>
      </c>
      <c r="X192" s="121">
        <v>0</v>
      </c>
      <c r="Y192" s="41">
        <f t="shared" si="12"/>
        <v>0</v>
      </c>
      <c r="Z192" s="121">
        <v>0</v>
      </c>
      <c r="AA192" s="121">
        <v>0</v>
      </c>
      <c r="AB192" s="121">
        <v>0</v>
      </c>
      <c r="AC192" s="41">
        <f t="shared" si="11"/>
        <v>0</v>
      </c>
      <c r="AD192" s="121">
        <v>0</v>
      </c>
      <c r="AE192" s="121">
        <v>0</v>
      </c>
      <c r="AF192" s="121">
        <v>0</v>
      </c>
      <c r="AG192" s="121">
        <v>0</v>
      </c>
    </row>
    <row r="193" spans="2:33" ht="14.25" customHeight="1">
      <c r="B193" s="25" t="s">
        <v>590</v>
      </c>
      <c r="C193" s="26" t="s">
        <v>591</v>
      </c>
      <c r="D193" s="121">
        <v>0</v>
      </c>
      <c r="E193" s="121">
        <v>0</v>
      </c>
      <c r="F193" s="121">
        <v>0</v>
      </c>
      <c r="G193" s="121">
        <v>0</v>
      </c>
      <c r="H193" s="121">
        <v>0</v>
      </c>
      <c r="I193" s="121">
        <v>0</v>
      </c>
      <c r="J193" s="121">
        <v>0</v>
      </c>
      <c r="K193" s="121">
        <v>0</v>
      </c>
      <c r="L193" s="121">
        <v>0</v>
      </c>
      <c r="M193" s="121">
        <v>0</v>
      </c>
      <c r="N193" s="121">
        <v>0</v>
      </c>
      <c r="O193" s="121">
        <v>0</v>
      </c>
      <c r="P193" s="121">
        <v>0</v>
      </c>
      <c r="Q193" s="41">
        <f t="shared" si="9"/>
        <v>0</v>
      </c>
      <c r="R193" s="121">
        <v>0</v>
      </c>
      <c r="S193" s="121">
        <v>0</v>
      </c>
      <c r="T193" s="121">
        <v>0</v>
      </c>
      <c r="U193" s="121">
        <v>0</v>
      </c>
      <c r="V193" s="121">
        <v>0</v>
      </c>
      <c r="W193" s="41">
        <f t="shared" si="10"/>
        <v>0</v>
      </c>
      <c r="X193" s="121">
        <v>0</v>
      </c>
      <c r="Y193" s="41">
        <f t="shared" si="12"/>
        <v>0</v>
      </c>
      <c r="Z193" s="121">
        <v>0</v>
      </c>
      <c r="AA193" s="121">
        <v>0</v>
      </c>
      <c r="AB193" s="121">
        <v>0</v>
      </c>
      <c r="AC193" s="41">
        <f t="shared" si="11"/>
        <v>0</v>
      </c>
      <c r="AD193" s="121">
        <v>0</v>
      </c>
      <c r="AE193" s="121">
        <v>0</v>
      </c>
      <c r="AF193" s="121">
        <v>0</v>
      </c>
      <c r="AG193" s="121">
        <v>0</v>
      </c>
    </row>
    <row r="194" spans="2:33" ht="14.25" customHeight="1">
      <c r="B194" s="25" t="s">
        <v>592</v>
      </c>
      <c r="C194" s="26" t="s">
        <v>593</v>
      </c>
      <c r="D194" s="121">
        <v>214000</v>
      </c>
      <c r="E194" s="121">
        <v>0</v>
      </c>
      <c r="F194" s="121">
        <v>214000</v>
      </c>
      <c r="G194" s="121">
        <v>0</v>
      </c>
      <c r="H194" s="121">
        <v>214000</v>
      </c>
      <c r="I194" s="121">
        <v>0</v>
      </c>
      <c r="J194" s="121">
        <v>306705.51</v>
      </c>
      <c r="K194" s="121">
        <v>92705.51</v>
      </c>
      <c r="L194" s="121">
        <v>228621.6</v>
      </c>
      <c r="M194" s="121">
        <v>0</v>
      </c>
      <c r="N194" s="121">
        <v>162000</v>
      </c>
      <c r="O194" s="121">
        <v>0</v>
      </c>
      <c r="P194" s="121">
        <v>214000</v>
      </c>
      <c r="Q194" s="41">
        <f t="shared" si="9"/>
        <v>0</v>
      </c>
      <c r="R194" s="121">
        <v>507442.21</v>
      </c>
      <c r="S194" s="121">
        <v>127087.42</v>
      </c>
      <c r="T194" s="121">
        <v>270814.67</v>
      </c>
      <c r="U194" s="121">
        <v>395428.21</v>
      </c>
      <c r="V194" s="121">
        <v>114607.6</v>
      </c>
      <c r="W194" s="41">
        <f t="shared" si="10"/>
        <v>149520.18</v>
      </c>
      <c r="X194" s="121">
        <v>214000</v>
      </c>
      <c r="Y194" s="41">
        <f t="shared" si="12"/>
        <v>214000</v>
      </c>
      <c r="Z194" s="121">
        <v>672774.09</v>
      </c>
      <c r="AA194" s="121">
        <v>280607.6</v>
      </c>
      <c r="AB194" s="121">
        <v>363520.18</v>
      </c>
      <c r="AC194" s="41">
        <f t="shared" si="11"/>
        <v>363520.18</v>
      </c>
      <c r="AD194" s="121">
        <v>0</v>
      </c>
      <c r="AE194" s="121">
        <v>0</v>
      </c>
      <c r="AF194" s="121">
        <v>149520.18</v>
      </c>
      <c r="AG194" s="121">
        <v>149520.18</v>
      </c>
    </row>
    <row r="195" spans="2:33" ht="14.25" customHeight="1">
      <c r="B195" s="27" t="s">
        <v>594</v>
      </c>
      <c r="C195" s="28" t="s">
        <v>595</v>
      </c>
      <c r="D195" s="121">
        <v>214000</v>
      </c>
      <c r="E195" s="121">
        <v>0</v>
      </c>
      <c r="F195" s="121">
        <v>214000</v>
      </c>
      <c r="G195" s="121">
        <v>0</v>
      </c>
      <c r="H195" s="121">
        <v>214000</v>
      </c>
      <c r="I195" s="121">
        <v>0</v>
      </c>
      <c r="J195" s="121">
        <v>306705.51</v>
      </c>
      <c r="K195" s="121">
        <v>92705.51</v>
      </c>
      <c r="L195" s="121">
        <v>228621.6</v>
      </c>
      <c r="M195" s="121">
        <v>0</v>
      </c>
      <c r="N195" s="121">
        <v>162000</v>
      </c>
      <c r="O195" s="121">
        <v>0</v>
      </c>
      <c r="P195" s="121">
        <v>214000</v>
      </c>
      <c r="Q195" s="41">
        <f t="shared" si="9"/>
        <v>0</v>
      </c>
      <c r="R195" s="121">
        <v>507442.21</v>
      </c>
      <c r="S195" s="121">
        <v>127087.42</v>
      </c>
      <c r="T195" s="121">
        <v>270814.67</v>
      </c>
      <c r="U195" s="121">
        <v>395428.21</v>
      </c>
      <c r="V195" s="121">
        <v>114607.6</v>
      </c>
      <c r="W195" s="41">
        <f t="shared" si="10"/>
        <v>149520.18</v>
      </c>
      <c r="X195" s="121">
        <v>214000</v>
      </c>
      <c r="Y195" s="41">
        <f t="shared" si="12"/>
        <v>214000</v>
      </c>
      <c r="Z195" s="121">
        <v>672774.09</v>
      </c>
      <c r="AA195" s="121">
        <v>280607.6</v>
      </c>
      <c r="AB195" s="121">
        <v>363520.18</v>
      </c>
      <c r="AC195" s="41">
        <f t="shared" si="11"/>
        <v>363520.18</v>
      </c>
      <c r="AD195" s="121">
        <v>0</v>
      </c>
      <c r="AE195" s="121">
        <v>0</v>
      </c>
      <c r="AF195" s="121">
        <v>149520.18</v>
      </c>
      <c r="AG195" s="121">
        <v>149520.18</v>
      </c>
    </row>
    <row r="196" spans="2:33" ht="14.25" customHeight="1">
      <c r="B196" s="25" t="s">
        <v>596</v>
      </c>
      <c r="C196" s="26" t="s">
        <v>597</v>
      </c>
      <c r="D196" s="121">
        <v>0</v>
      </c>
      <c r="E196" s="121">
        <v>0</v>
      </c>
      <c r="F196" s="121">
        <v>0</v>
      </c>
      <c r="G196" s="121">
        <v>0</v>
      </c>
      <c r="H196" s="121">
        <v>0</v>
      </c>
      <c r="I196" s="121">
        <v>0</v>
      </c>
      <c r="J196" s="121">
        <v>0</v>
      </c>
      <c r="K196" s="121">
        <v>0</v>
      </c>
      <c r="L196" s="121">
        <v>0</v>
      </c>
      <c r="M196" s="121">
        <v>0</v>
      </c>
      <c r="N196" s="121">
        <v>0</v>
      </c>
      <c r="O196" s="121">
        <v>0</v>
      </c>
      <c r="P196" s="121">
        <v>0</v>
      </c>
      <c r="Q196" s="41">
        <f t="shared" si="9"/>
        <v>0</v>
      </c>
      <c r="R196" s="121">
        <v>0</v>
      </c>
      <c r="S196" s="121">
        <v>0</v>
      </c>
      <c r="T196" s="121">
        <v>0</v>
      </c>
      <c r="U196" s="121">
        <v>0</v>
      </c>
      <c r="V196" s="121">
        <v>0</v>
      </c>
      <c r="W196" s="41">
        <f t="shared" si="10"/>
        <v>0</v>
      </c>
      <c r="X196" s="121">
        <v>0</v>
      </c>
      <c r="Y196" s="41">
        <f t="shared" si="12"/>
        <v>0</v>
      </c>
      <c r="Z196" s="121">
        <v>0</v>
      </c>
      <c r="AA196" s="121">
        <v>0</v>
      </c>
      <c r="AB196" s="121">
        <v>0</v>
      </c>
      <c r="AC196" s="41">
        <f t="shared" si="11"/>
        <v>0</v>
      </c>
      <c r="AD196" s="121">
        <v>0</v>
      </c>
      <c r="AE196" s="121">
        <v>0</v>
      </c>
      <c r="AF196" s="121">
        <v>0</v>
      </c>
      <c r="AG196" s="121">
        <v>0</v>
      </c>
    </row>
    <row r="197" spans="2:33" ht="14.25" customHeight="1">
      <c r="B197" s="25" t="s">
        <v>598</v>
      </c>
      <c r="C197" s="26" t="s">
        <v>599</v>
      </c>
      <c r="D197" s="121">
        <v>127542.87</v>
      </c>
      <c r="E197" s="121">
        <v>1725.15</v>
      </c>
      <c r="F197" s="121">
        <v>128906.8</v>
      </c>
      <c r="G197" s="121">
        <v>1725.15</v>
      </c>
      <c r="H197" s="121">
        <v>128525.6</v>
      </c>
      <c r="I197" s="121">
        <v>1725.15</v>
      </c>
      <c r="J197" s="121">
        <v>133322.33</v>
      </c>
      <c r="K197" s="121">
        <v>7504.61</v>
      </c>
      <c r="L197" s="121">
        <v>149573.5</v>
      </c>
      <c r="M197" s="121">
        <v>6790.57</v>
      </c>
      <c r="N197" s="121">
        <v>158774.78</v>
      </c>
      <c r="O197" s="121">
        <v>4624.81</v>
      </c>
      <c r="P197" s="121">
        <v>142340.21</v>
      </c>
      <c r="Q197" s="41">
        <f t="shared" si="9"/>
        <v>4542.28</v>
      </c>
      <c r="R197" s="121">
        <v>154463.17</v>
      </c>
      <c r="S197" s="121">
        <v>155645.21</v>
      </c>
      <c r="T197" s="121">
        <v>146975.9</v>
      </c>
      <c r="U197" s="121">
        <v>13900.4</v>
      </c>
      <c r="V197" s="121">
        <v>9010.73</v>
      </c>
      <c r="W197" s="41">
        <f t="shared" si="10"/>
        <v>12140.3</v>
      </c>
      <c r="X197" s="121">
        <v>162402.34</v>
      </c>
      <c r="Y197" s="41">
        <f t="shared" si="12"/>
        <v>157860.06</v>
      </c>
      <c r="Z197" s="121">
        <v>191970.85</v>
      </c>
      <c r="AA197" s="121">
        <v>187613.61</v>
      </c>
      <c r="AB197" s="121">
        <v>170000.36</v>
      </c>
      <c r="AC197" s="41">
        <f t="shared" si="11"/>
        <v>170000.36</v>
      </c>
      <c r="AD197" s="121">
        <v>4542.28</v>
      </c>
      <c r="AE197" s="121">
        <v>0</v>
      </c>
      <c r="AF197" s="121">
        <v>12140.3</v>
      </c>
      <c r="AG197" s="121">
        <v>12140.3</v>
      </c>
    </row>
    <row r="198" spans="2:33" ht="14.25" customHeight="1">
      <c r="B198" s="25" t="s">
        <v>600</v>
      </c>
      <c r="C198" s="26" t="s">
        <v>601</v>
      </c>
      <c r="D198" s="121">
        <v>1000</v>
      </c>
      <c r="E198" s="121">
        <v>0</v>
      </c>
      <c r="F198" s="121">
        <v>1000</v>
      </c>
      <c r="G198" s="121">
        <v>0</v>
      </c>
      <c r="H198" s="121">
        <v>1000</v>
      </c>
      <c r="I198" s="121">
        <v>0</v>
      </c>
      <c r="J198" s="121">
        <v>1206.91</v>
      </c>
      <c r="K198" s="121">
        <v>206.91</v>
      </c>
      <c r="L198" s="121">
        <v>0</v>
      </c>
      <c r="M198" s="121">
        <v>0</v>
      </c>
      <c r="N198" s="121">
        <v>7644.56</v>
      </c>
      <c r="O198" s="121">
        <v>62355.44</v>
      </c>
      <c r="P198" s="121">
        <v>62355.44</v>
      </c>
      <c r="Q198" s="41">
        <f t="shared" si="9"/>
        <v>0</v>
      </c>
      <c r="R198" s="121">
        <v>0</v>
      </c>
      <c r="S198" s="121">
        <v>0</v>
      </c>
      <c r="T198" s="121">
        <v>69793.09</v>
      </c>
      <c r="U198" s="121">
        <v>0</v>
      </c>
      <c r="V198" s="121">
        <v>0</v>
      </c>
      <c r="W198" s="41">
        <f t="shared" si="10"/>
        <v>7644.56</v>
      </c>
      <c r="X198" s="121">
        <v>63355.44</v>
      </c>
      <c r="Y198" s="41">
        <f t="shared" si="12"/>
        <v>63355.44</v>
      </c>
      <c r="Z198" s="121">
        <v>0</v>
      </c>
      <c r="AA198" s="121">
        <v>7644.56</v>
      </c>
      <c r="AB198" s="121">
        <v>71000</v>
      </c>
      <c r="AC198" s="41">
        <f t="shared" si="11"/>
        <v>71000</v>
      </c>
      <c r="AD198" s="121">
        <v>0</v>
      </c>
      <c r="AE198" s="121">
        <v>0</v>
      </c>
      <c r="AF198" s="121">
        <v>7644.56</v>
      </c>
      <c r="AG198" s="121">
        <v>7644.56</v>
      </c>
    </row>
    <row r="199" spans="2:33" ht="14.25" customHeight="1">
      <c r="B199" s="25" t="s">
        <v>602</v>
      </c>
      <c r="C199" s="26" t="s">
        <v>603</v>
      </c>
      <c r="D199" s="121">
        <v>400</v>
      </c>
      <c r="E199" s="121">
        <v>0</v>
      </c>
      <c r="F199" s="121">
        <v>400</v>
      </c>
      <c r="G199" s="121">
        <v>0</v>
      </c>
      <c r="H199" s="121">
        <v>400</v>
      </c>
      <c r="I199" s="121">
        <v>0</v>
      </c>
      <c r="J199" s="121">
        <v>400</v>
      </c>
      <c r="K199" s="121">
        <v>0</v>
      </c>
      <c r="L199" s="121">
        <v>0</v>
      </c>
      <c r="M199" s="121">
        <v>0</v>
      </c>
      <c r="N199" s="121">
        <v>0</v>
      </c>
      <c r="O199" s="121">
        <v>0</v>
      </c>
      <c r="P199" s="121">
        <v>0</v>
      </c>
      <c r="Q199" s="41">
        <f t="shared" si="9"/>
        <v>0</v>
      </c>
      <c r="R199" s="121">
        <v>0</v>
      </c>
      <c r="S199" s="121">
        <v>0</v>
      </c>
      <c r="T199" s="121">
        <v>0</v>
      </c>
      <c r="U199" s="121">
        <v>0</v>
      </c>
      <c r="V199" s="121">
        <v>0</v>
      </c>
      <c r="W199" s="41">
        <f t="shared" si="10"/>
        <v>0</v>
      </c>
      <c r="X199" s="121">
        <v>400</v>
      </c>
      <c r="Y199" s="41">
        <f t="shared" si="12"/>
        <v>400</v>
      </c>
      <c r="Z199" s="121">
        <v>0</v>
      </c>
      <c r="AA199" s="121">
        <v>400</v>
      </c>
      <c r="AB199" s="121">
        <v>400</v>
      </c>
      <c r="AC199" s="41">
        <f t="shared" si="11"/>
        <v>400</v>
      </c>
      <c r="AD199" s="121">
        <v>0</v>
      </c>
      <c r="AE199" s="121">
        <v>0</v>
      </c>
      <c r="AF199" s="121">
        <v>0</v>
      </c>
      <c r="AG199" s="121">
        <v>0</v>
      </c>
    </row>
    <row r="200" spans="2:33" ht="14.25" customHeight="1">
      <c r="B200" s="27" t="s">
        <v>604</v>
      </c>
      <c r="C200" s="28" t="s">
        <v>605</v>
      </c>
      <c r="D200" s="121">
        <v>128942.87</v>
      </c>
      <c r="E200" s="121">
        <v>1725.15</v>
      </c>
      <c r="F200" s="121">
        <v>130306.8</v>
      </c>
      <c r="G200" s="121">
        <v>1725.15</v>
      </c>
      <c r="H200" s="121">
        <v>129925.6</v>
      </c>
      <c r="I200" s="121">
        <v>1725.15</v>
      </c>
      <c r="J200" s="121">
        <v>134929.24</v>
      </c>
      <c r="K200" s="121">
        <v>7711.52</v>
      </c>
      <c r="L200" s="121">
        <v>149573.5</v>
      </c>
      <c r="M200" s="121">
        <v>6790.57</v>
      </c>
      <c r="N200" s="121">
        <v>166419.34</v>
      </c>
      <c r="O200" s="121">
        <v>66980.25</v>
      </c>
      <c r="P200" s="121">
        <v>204695.65</v>
      </c>
      <c r="Q200" s="41">
        <f t="shared" si="9"/>
        <v>4542.28</v>
      </c>
      <c r="R200" s="121">
        <v>154463.17</v>
      </c>
      <c r="S200" s="121">
        <v>155645.21</v>
      </c>
      <c r="T200" s="121">
        <v>216768.99</v>
      </c>
      <c r="U200" s="121">
        <v>13900.4</v>
      </c>
      <c r="V200" s="121">
        <v>9010.73</v>
      </c>
      <c r="W200" s="41">
        <f t="shared" si="10"/>
        <v>19784.86</v>
      </c>
      <c r="X200" s="121">
        <v>226157.78</v>
      </c>
      <c r="Y200" s="41">
        <f t="shared" si="12"/>
        <v>221615.5</v>
      </c>
      <c r="Z200" s="121">
        <v>191970.85</v>
      </c>
      <c r="AA200" s="121">
        <v>195658.17</v>
      </c>
      <c r="AB200" s="121">
        <v>241400.36</v>
      </c>
      <c r="AC200" s="41">
        <f t="shared" si="11"/>
        <v>241400.36</v>
      </c>
      <c r="AD200" s="121">
        <v>4542.28</v>
      </c>
      <c r="AE200" s="121">
        <v>0</v>
      </c>
      <c r="AF200" s="121">
        <v>19784.86</v>
      </c>
      <c r="AG200" s="121">
        <v>19784.86</v>
      </c>
    </row>
    <row r="201" spans="2:33" ht="14.25" customHeight="1">
      <c r="B201" s="25" t="s">
        <v>606</v>
      </c>
      <c r="C201" s="26" t="s">
        <v>607</v>
      </c>
      <c r="D201" s="121">
        <v>0</v>
      </c>
      <c r="E201" s="121">
        <v>0</v>
      </c>
      <c r="F201" s="121">
        <v>0</v>
      </c>
      <c r="G201" s="121">
        <v>0</v>
      </c>
      <c r="H201" s="121">
        <v>0</v>
      </c>
      <c r="I201" s="121">
        <v>0</v>
      </c>
      <c r="J201" s="121">
        <v>0</v>
      </c>
      <c r="K201" s="121">
        <v>0</v>
      </c>
      <c r="L201" s="121">
        <v>0</v>
      </c>
      <c r="M201" s="121">
        <v>0</v>
      </c>
      <c r="N201" s="121">
        <v>0</v>
      </c>
      <c r="O201" s="121">
        <v>0</v>
      </c>
      <c r="P201" s="121">
        <v>0</v>
      </c>
      <c r="Q201" s="41">
        <f t="shared" si="9"/>
        <v>0</v>
      </c>
      <c r="R201" s="121">
        <v>0</v>
      </c>
      <c r="S201" s="121">
        <v>0</v>
      </c>
      <c r="T201" s="121">
        <v>0</v>
      </c>
      <c r="U201" s="121">
        <v>0</v>
      </c>
      <c r="V201" s="121">
        <v>0</v>
      </c>
      <c r="W201" s="41">
        <f t="shared" si="10"/>
        <v>0</v>
      </c>
      <c r="X201" s="121">
        <v>0</v>
      </c>
      <c r="Y201" s="41">
        <f t="shared" si="12"/>
        <v>0</v>
      </c>
      <c r="Z201" s="121">
        <v>0</v>
      </c>
      <c r="AA201" s="121">
        <v>0</v>
      </c>
      <c r="AB201" s="121">
        <v>0</v>
      </c>
      <c r="AC201" s="41">
        <f t="shared" si="11"/>
        <v>0</v>
      </c>
      <c r="AD201" s="121">
        <v>0</v>
      </c>
      <c r="AE201" s="121">
        <v>0</v>
      </c>
      <c r="AF201" s="121">
        <v>0</v>
      </c>
      <c r="AG201" s="121">
        <v>0</v>
      </c>
    </row>
    <row r="202" spans="2:33" ht="14.25" customHeight="1">
      <c r="B202" s="25" t="s">
        <v>608</v>
      </c>
      <c r="C202" s="26" t="s">
        <v>609</v>
      </c>
      <c r="D202" s="121">
        <v>0</v>
      </c>
      <c r="E202" s="121">
        <v>0</v>
      </c>
      <c r="F202" s="121">
        <v>0</v>
      </c>
      <c r="G202" s="121">
        <v>0</v>
      </c>
      <c r="H202" s="121">
        <v>0</v>
      </c>
      <c r="I202" s="121">
        <v>0</v>
      </c>
      <c r="J202" s="121">
        <v>0</v>
      </c>
      <c r="K202" s="121">
        <v>0</v>
      </c>
      <c r="L202" s="121">
        <v>0</v>
      </c>
      <c r="M202" s="121">
        <v>0</v>
      </c>
      <c r="N202" s="121">
        <v>0</v>
      </c>
      <c r="O202" s="121">
        <v>0</v>
      </c>
      <c r="P202" s="121">
        <v>0</v>
      </c>
      <c r="Q202" s="41">
        <f t="shared" si="9"/>
        <v>0</v>
      </c>
      <c r="R202" s="121">
        <v>0</v>
      </c>
      <c r="S202" s="121">
        <v>0</v>
      </c>
      <c r="T202" s="121">
        <v>0</v>
      </c>
      <c r="U202" s="121">
        <v>0</v>
      </c>
      <c r="V202" s="121">
        <v>0</v>
      </c>
      <c r="W202" s="41">
        <f t="shared" si="10"/>
        <v>0</v>
      </c>
      <c r="X202" s="121">
        <v>0</v>
      </c>
      <c r="Y202" s="41">
        <f t="shared" si="12"/>
        <v>0</v>
      </c>
      <c r="Z202" s="121">
        <v>0</v>
      </c>
      <c r="AA202" s="121">
        <v>0</v>
      </c>
      <c r="AB202" s="121">
        <v>0</v>
      </c>
      <c r="AC202" s="41">
        <f t="shared" si="11"/>
        <v>0</v>
      </c>
      <c r="AD202" s="121">
        <v>0</v>
      </c>
      <c r="AE202" s="121">
        <v>0</v>
      </c>
      <c r="AF202" s="121">
        <v>0</v>
      </c>
      <c r="AG202" s="121">
        <v>0</v>
      </c>
    </row>
    <row r="203" spans="2:33" ht="14.25" customHeight="1">
      <c r="B203" s="25" t="s">
        <v>610</v>
      </c>
      <c r="C203" s="26" t="s">
        <v>611</v>
      </c>
      <c r="D203" s="121">
        <v>0</v>
      </c>
      <c r="E203" s="121">
        <v>0</v>
      </c>
      <c r="F203" s="121">
        <v>0</v>
      </c>
      <c r="G203" s="121">
        <v>0</v>
      </c>
      <c r="H203" s="121">
        <v>0</v>
      </c>
      <c r="I203" s="121">
        <v>0</v>
      </c>
      <c r="J203" s="121">
        <v>0</v>
      </c>
      <c r="K203" s="121">
        <v>0</v>
      </c>
      <c r="L203" s="121">
        <v>0</v>
      </c>
      <c r="M203" s="121">
        <v>0</v>
      </c>
      <c r="N203" s="121">
        <v>0</v>
      </c>
      <c r="O203" s="121">
        <v>0</v>
      </c>
      <c r="P203" s="121">
        <v>0</v>
      </c>
      <c r="Q203" s="41">
        <f t="shared" si="9"/>
        <v>0</v>
      </c>
      <c r="R203" s="121">
        <v>0</v>
      </c>
      <c r="S203" s="121">
        <v>0</v>
      </c>
      <c r="T203" s="121">
        <v>0</v>
      </c>
      <c r="U203" s="121">
        <v>0</v>
      </c>
      <c r="V203" s="121">
        <v>0</v>
      </c>
      <c r="W203" s="41">
        <f t="shared" si="10"/>
        <v>0</v>
      </c>
      <c r="X203" s="121">
        <v>0</v>
      </c>
      <c r="Y203" s="41">
        <f t="shared" si="12"/>
        <v>0</v>
      </c>
      <c r="Z203" s="121">
        <v>0</v>
      </c>
      <c r="AA203" s="121">
        <v>0</v>
      </c>
      <c r="AB203" s="121">
        <v>0</v>
      </c>
      <c r="AC203" s="41">
        <f t="shared" si="11"/>
        <v>0</v>
      </c>
      <c r="AD203" s="121">
        <v>0</v>
      </c>
      <c r="AE203" s="121">
        <v>0</v>
      </c>
      <c r="AF203" s="121">
        <v>0</v>
      </c>
      <c r="AG203" s="121">
        <v>0</v>
      </c>
    </row>
    <row r="204" spans="2:33" ht="14.25" customHeight="1">
      <c r="B204" s="27" t="s">
        <v>612</v>
      </c>
      <c r="C204" s="28" t="s">
        <v>613</v>
      </c>
      <c r="D204" s="121">
        <v>0</v>
      </c>
      <c r="E204" s="121">
        <v>0</v>
      </c>
      <c r="F204" s="121">
        <v>0</v>
      </c>
      <c r="G204" s="121">
        <v>0</v>
      </c>
      <c r="H204" s="121">
        <v>0</v>
      </c>
      <c r="I204" s="121">
        <v>0</v>
      </c>
      <c r="J204" s="121">
        <v>0</v>
      </c>
      <c r="K204" s="121">
        <v>0</v>
      </c>
      <c r="L204" s="121">
        <v>0</v>
      </c>
      <c r="M204" s="121">
        <v>0</v>
      </c>
      <c r="N204" s="121">
        <v>0</v>
      </c>
      <c r="O204" s="121">
        <v>0</v>
      </c>
      <c r="P204" s="121">
        <v>0</v>
      </c>
      <c r="Q204" s="41">
        <f t="shared" si="9"/>
        <v>0</v>
      </c>
      <c r="R204" s="121">
        <v>0</v>
      </c>
      <c r="S204" s="121">
        <v>0</v>
      </c>
      <c r="T204" s="121">
        <v>0</v>
      </c>
      <c r="U204" s="121">
        <v>0</v>
      </c>
      <c r="V204" s="121">
        <v>0</v>
      </c>
      <c r="W204" s="41">
        <f t="shared" si="10"/>
        <v>0</v>
      </c>
      <c r="X204" s="121">
        <v>0</v>
      </c>
      <c r="Y204" s="41">
        <f t="shared" si="12"/>
        <v>0</v>
      </c>
      <c r="Z204" s="121">
        <v>0</v>
      </c>
      <c r="AA204" s="121">
        <v>0</v>
      </c>
      <c r="AB204" s="121">
        <v>0</v>
      </c>
      <c r="AC204" s="41">
        <f t="shared" si="11"/>
        <v>0</v>
      </c>
      <c r="AD204" s="121">
        <v>0</v>
      </c>
      <c r="AE204" s="121">
        <v>0</v>
      </c>
      <c r="AF204" s="121">
        <v>0</v>
      </c>
      <c r="AG204" s="121">
        <v>0</v>
      </c>
    </row>
    <row r="205" spans="2:33" ht="14.25" customHeight="1">
      <c r="B205" s="25" t="s">
        <v>614</v>
      </c>
      <c r="C205" s="26" t="s">
        <v>615</v>
      </c>
      <c r="D205" s="121">
        <v>0</v>
      </c>
      <c r="E205" s="121">
        <v>0</v>
      </c>
      <c r="F205" s="121">
        <v>0</v>
      </c>
      <c r="G205" s="121">
        <v>0</v>
      </c>
      <c r="H205" s="121">
        <v>0</v>
      </c>
      <c r="I205" s="121">
        <v>0</v>
      </c>
      <c r="J205" s="121">
        <v>0</v>
      </c>
      <c r="K205" s="121">
        <v>0</v>
      </c>
      <c r="L205" s="121">
        <v>0</v>
      </c>
      <c r="M205" s="121">
        <v>0</v>
      </c>
      <c r="N205" s="121">
        <v>0</v>
      </c>
      <c r="O205" s="121">
        <v>0</v>
      </c>
      <c r="P205" s="121">
        <v>0</v>
      </c>
      <c r="Q205" s="41">
        <f t="shared" si="9"/>
        <v>0</v>
      </c>
      <c r="R205" s="121">
        <v>0</v>
      </c>
      <c r="S205" s="121">
        <v>0</v>
      </c>
      <c r="T205" s="121">
        <v>0</v>
      </c>
      <c r="U205" s="121">
        <v>0</v>
      </c>
      <c r="V205" s="121">
        <v>0</v>
      </c>
      <c r="W205" s="41">
        <f t="shared" si="10"/>
        <v>0</v>
      </c>
      <c r="X205" s="121">
        <v>0</v>
      </c>
      <c r="Y205" s="41">
        <f t="shared" si="12"/>
        <v>0</v>
      </c>
      <c r="Z205" s="121">
        <v>0</v>
      </c>
      <c r="AA205" s="121">
        <v>0</v>
      </c>
      <c r="AB205" s="121">
        <v>0</v>
      </c>
      <c r="AC205" s="41">
        <f t="shared" si="11"/>
        <v>0</v>
      </c>
      <c r="AD205" s="121">
        <v>0</v>
      </c>
      <c r="AE205" s="121">
        <v>0</v>
      </c>
      <c r="AF205" s="121">
        <v>0</v>
      </c>
      <c r="AG205" s="121">
        <v>0</v>
      </c>
    </row>
    <row r="206" spans="2:33" ht="14.25" customHeight="1">
      <c r="B206" s="25" t="s">
        <v>616</v>
      </c>
      <c r="C206" s="26" t="s">
        <v>617</v>
      </c>
      <c r="D206" s="121">
        <v>0</v>
      </c>
      <c r="E206" s="121">
        <v>0</v>
      </c>
      <c r="F206" s="121">
        <v>0</v>
      </c>
      <c r="G206" s="121">
        <v>0</v>
      </c>
      <c r="H206" s="121">
        <v>0</v>
      </c>
      <c r="I206" s="121">
        <v>0</v>
      </c>
      <c r="J206" s="121">
        <v>0</v>
      </c>
      <c r="K206" s="121">
        <v>0</v>
      </c>
      <c r="L206" s="121">
        <v>0</v>
      </c>
      <c r="M206" s="121">
        <v>0</v>
      </c>
      <c r="N206" s="121">
        <v>0</v>
      </c>
      <c r="O206" s="121">
        <v>0</v>
      </c>
      <c r="P206" s="121">
        <v>0</v>
      </c>
      <c r="Q206" s="41">
        <f t="shared" si="9"/>
        <v>0</v>
      </c>
      <c r="R206" s="121">
        <v>0</v>
      </c>
      <c r="S206" s="121">
        <v>0</v>
      </c>
      <c r="T206" s="121">
        <v>0</v>
      </c>
      <c r="U206" s="121">
        <v>0</v>
      </c>
      <c r="V206" s="121">
        <v>0</v>
      </c>
      <c r="W206" s="41">
        <f t="shared" si="10"/>
        <v>0</v>
      </c>
      <c r="X206" s="121">
        <v>0</v>
      </c>
      <c r="Y206" s="41">
        <f t="shared" si="12"/>
        <v>0</v>
      </c>
      <c r="Z206" s="121">
        <v>0</v>
      </c>
      <c r="AA206" s="121">
        <v>0</v>
      </c>
      <c r="AB206" s="121">
        <v>0</v>
      </c>
      <c r="AC206" s="41">
        <f t="shared" si="11"/>
        <v>0</v>
      </c>
      <c r="AD206" s="121">
        <v>0</v>
      </c>
      <c r="AE206" s="121">
        <v>0</v>
      </c>
      <c r="AF206" s="121">
        <v>0</v>
      </c>
      <c r="AG206" s="121">
        <v>0</v>
      </c>
    </row>
    <row r="207" spans="2:33" ht="14.25" customHeight="1">
      <c r="B207" s="27" t="s">
        <v>618</v>
      </c>
      <c r="C207" s="28" t="s">
        <v>619</v>
      </c>
      <c r="D207" s="121">
        <v>0</v>
      </c>
      <c r="E207" s="121">
        <v>0</v>
      </c>
      <c r="F207" s="121">
        <v>0</v>
      </c>
      <c r="G207" s="121">
        <v>0</v>
      </c>
      <c r="H207" s="121">
        <v>0</v>
      </c>
      <c r="I207" s="121">
        <v>0</v>
      </c>
      <c r="J207" s="121">
        <v>0</v>
      </c>
      <c r="K207" s="121">
        <v>0</v>
      </c>
      <c r="L207" s="121">
        <v>0</v>
      </c>
      <c r="M207" s="121">
        <v>0</v>
      </c>
      <c r="N207" s="121">
        <v>0</v>
      </c>
      <c r="O207" s="121">
        <v>0</v>
      </c>
      <c r="P207" s="121">
        <v>0</v>
      </c>
      <c r="Q207" s="41">
        <f t="shared" si="9"/>
        <v>0</v>
      </c>
      <c r="R207" s="121">
        <v>0</v>
      </c>
      <c r="S207" s="121">
        <v>0</v>
      </c>
      <c r="T207" s="121">
        <v>0</v>
      </c>
      <c r="U207" s="121">
        <v>0</v>
      </c>
      <c r="V207" s="121">
        <v>0</v>
      </c>
      <c r="W207" s="41">
        <f t="shared" si="10"/>
        <v>0</v>
      </c>
      <c r="X207" s="121">
        <v>0</v>
      </c>
      <c r="Y207" s="41">
        <f t="shared" si="12"/>
        <v>0</v>
      </c>
      <c r="Z207" s="121">
        <v>0</v>
      </c>
      <c r="AA207" s="121">
        <v>0</v>
      </c>
      <c r="AB207" s="121">
        <v>0</v>
      </c>
      <c r="AC207" s="41">
        <f t="shared" si="11"/>
        <v>0</v>
      </c>
      <c r="AD207" s="121">
        <v>0</v>
      </c>
      <c r="AE207" s="121">
        <v>0</v>
      </c>
      <c r="AF207" s="121">
        <v>0</v>
      </c>
      <c r="AG207" s="121">
        <v>0</v>
      </c>
    </row>
    <row r="208" spans="2:33" ht="14.25" customHeight="1">
      <c r="B208" s="25" t="s">
        <v>620</v>
      </c>
      <c r="C208" s="26" t="s">
        <v>621</v>
      </c>
      <c r="D208" s="121">
        <v>1804451.3</v>
      </c>
      <c r="E208" s="121">
        <v>0</v>
      </c>
      <c r="F208" s="121">
        <v>2684385.54</v>
      </c>
      <c r="G208" s="121">
        <v>0</v>
      </c>
      <c r="H208" s="121">
        <v>1395502.7</v>
      </c>
      <c r="I208" s="121">
        <v>0</v>
      </c>
      <c r="J208" s="121">
        <v>1804451.3</v>
      </c>
      <c r="K208" s="121">
        <v>0</v>
      </c>
      <c r="L208" s="121">
        <v>0</v>
      </c>
      <c r="M208" s="121">
        <v>0</v>
      </c>
      <c r="N208" s="121">
        <v>0</v>
      </c>
      <c r="O208" s="121">
        <v>0</v>
      </c>
      <c r="P208" s="121">
        <v>0</v>
      </c>
      <c r="Q208" s="41">
        <f t="shared" si="9"/>
        <v>0</v>
      </c>
      <c r="R208" s="121">
        <v>0</v>
      </c>
      <c r="S208" s="121">
        <v>0</v>
      </c>
      <c r="T208" s="121">
        <v>0</v>
      </c>
      <c r="U208" s="121">
        <v>0</v>
      </c>
      <c r="V208" s="121">
        <v>0</v>
      </c>
      <c r="W208" s="41">
        <f t="shared" si="10"/>
        <v>0</v>
      </c>
      <c r="X208" s="121">
        <v>1404635.78</v>
      </c>
      <c r="Y208" s="41">
        <f t="shared" si="12"/>
        <v>1404635.78</v>
      </c>
      <c r="Z208" s="121">
        <v>1425502.7</v>
      </c>
      <c r="AA208" s="121">
        <v>1425502.7</v>
      </c>
      <c r="AB208" s="121">
        <v>1404635.78</v>
      </c>
      <c r="AC208" s="41">
        <f t="shared" si="11"/>
        <v>1404635.78</v>
      </c>
      <c r="AD208" s="121">
        <v>0</v>
      </c>
      <c r="AE208" s="121">
        <v>0</v>
      </c>
      <c r="AF208" s="121">
        <v>0</v>
      </c>
      <c r="AG208" s="121">
        <v>0</v>
      </c>
    </row>
    <row r="209" spans="2:33" ht="14.25" customHeight="1">
      <c r="B209" s="27" t="s">
        <v>622</v>
      </c>
      <c r="C209" s="28" t="s">
        <v>623</v>
      </c>
      <c r="D209" s="121">
        <v>1804451.3</v>
      </c>
      <c r="E209" s="121">
        <v>0</v>
      </c>
      <c r="F209" s="121">
        <v>2684385.54</v>
      </c>
      <c r="G209" s="121">
        <v>0</v>
      </c>
      <c r="H209" s="121">
        <v>1395502.7</v>
      </c>
      <c r="I209" s="121">
        <v>0</v>
      </c>
      <c r="J209" s="121">
        <v>1804451.3</v>
      </c>
      <c r="K209" s="121">
        <v>0</v>
      </c>
      <c r="L209" s="121">
        <v>0</v>
      </c>
      <c r="M209" s="121">
        <v>0</v>
      </c>
      <c r="N209" s="121">
        <v>0</v>
      </c>
      <c r="O209" s="121">
        <v>0</v>
      </c>
      <c r="P209" s="121">
        <v>0</v>
      </c>
      <c r="Q209" s="41">
        <f t="shared" si="9"/>
        <v>0</v>
      </c>
      <c r="R209" s="121">
        <v>0</v>
      </c>
      <c r="S209" s="121">
        <v>0</v>
      </c>
      <c r="T209" s="121">
        <v>0</v>
      </c>
      <c r="U209" s="121">
        <v>0</v>
      </c>
      <c r="V209" s="121">
        <v>0</v>
      </c>
      <c r="W209" s="41">
        <f t="shared" si="10"/>
        <v>0</v>
      </c>
      <c r="X209" s="121">
        <v>1404635.78</v>
      </c>
      <c r="Y209" s="41">
        <f t="shared" si="12"/>
        <v>1404635.78</v>
      </c>
      <c r="Z209" s="121">
        <v>1425502.7</v>
      </c>
      <c r="AA209" s="121">
        <v>1425502.7</v>
      </c>
      <c r="AB209" s="121">
        <v>1404635.78</v>
      </c>
      <c r="AC209" s="41">
        <f t="shared" si="11"/>
        <v>1404635.78</v>
      </c>
      <c r="AD209" s="121">
        <v>0</v>
      </c>
      <c r="AE209" s="121">
        <v>0</v>
      </c>
      <c r="AF209" s="121">
        <v>0</v>
      </c>
      <c r="AG209" s="121">
        <v>0</v>
      </c>
    </row>
    <row r="210" spans="2:33" ht="14.25" customHeight="1">
      <c r="B210" s="25" t="s">
        <v>624</v>
      </c>
      <c r="C210" s="26" t="s">
        <v>625</v>
      </c>
      <c r="D210" s="121">
        <v>92537.68</v>
      </c>
      <c r="E210" s="121">
        <v>0</v>
      </c>
      <c r="F210" s="121">
        <v>92537.68</v>
      </c>
      <c r="G210" s="121">
        <v>0</v>
      </c>
      <c r="H210" s="121">
        <v>92537.68</v>
      </c>
      <c r="I210" s="121">
        <v>0</v>
      </c>
      <c r="J210" s="121">
        <v>92537.68</v>
      </c>
      <c r="K210" s="121">
        <v>0</v>
      </c>
      <c r="L210" s="121">
        <v>92537.68</v>
      </c>
      <c r="M210" s="121">
        <v>0</v>
      </c>
      <c r="N210" s="121">
        <v>92537.68</v>
      </c>
      <c r="O210" s="121">
        <v>0</v>
      </c>
      <c r="P210" s="121">
        <v>92537.68</v>
      </c>
      <c r="Q210" s="41">
        <f t="shared" si="9"/>
        <v>0</v>
      </c>
      <c r="R210" s="121">
        <v>104590.47</v>
      </c>
      <c r="S210" s="121">
        <v>92537.68</v>
      </c>
      <c r="T210" s="121">
        <v>92537.68</v>
      </c>
      <c r="U210" s="121">
        <v>12052.79</v>
      </c>
      <c r="V210" s="121">
        <v>0</v>
      </c>
      <c r="W210" s="41">
        <f t="shared" si="10"/>
        <v>0</v>
      </c>
      <c r="X210" s="121">
        <v>92537.68</v>
      </c>
      <c r="Y210" s="41">
        <f t="shared" si="12"/>
        <v>92537.68</v>
      </c>
      <c r="Z210" s="121">
        <v>104590.47</v>
      </c>
      <c r="AA210" s="121">
        <v>92537.68</v>
      </c>
      <c r="AB210" s="121">
        <v>92537.68</v>
      </c>
      <c r="AC210" s="41">
        <f t="shared" si="11"/>
        <v>92537.68</v>
      </c>
      <c r="AD210" s="121">
        <v>0</v>
      </c>
      <c r="AE210" s="121">
        <v>0</v>
      </c>
      <c r="AF210" s="121">
        <v>0</v>
      </c>
      <c r="AG210" s="121">
        <v>0</v>
      </c>
    </row>
    <row r="211" spans="2:33" ht="14.25" customHeight="1">
      <c r="B211" s="27" t="s">
        <v>626</v>
      </c>
      <c r="C211" s="28" t="s">
        <v>627</v>
      </c>
      <c r="D211" s="121">
        <v>92537.68</v>
      </c>
      <c r="E211" s="121">
        <v>0</v>
      </c>
      <c r="F211" s="121">
        <v>92537.68</v>
      </c>
      <c r="G211" s="121">
        <v>0</v>
      </c>
      <c r="H211" s="121">
        <v>92537.68</v>
      </c>
      <c r="I211" s="121">
        <v>0</v>
      </c>
      <c r="J211" s="121">
        <v>92537.68</v>
      </c>
      <c r="K211" s="121">
        <v>0</v>
      </c>
      <c r="L211" s="121">
        <v>92537.68</v>
      </c>
      <c r="M211" s="121">
        <v>0</v>
      </c>
      <c r="N211" s="121">
        <v>92537.68</v>
      </c>
      <c r="O211" s="121">
        <v>0</v>
      </c>
      <c r="P211" s="121">
        <v>92537.68</v>
      </c>
      <c r="Q211" s="41">
        <f t="shared" si="9"/>
        <v>0</v>
      </c>
      <c r="R211" s="121">
        <v>104590.47</v>
      </c>
      <c r="S211" s="121">
        <v>92537.68</v>
      </c>
      <c r="T211" s="121">
        <v>92537.68</v>
      </c>
      <c r="U211" s="121">
        <v>12052.79</v>
      </c>
      <c r="V211" s="121">
        <v>0</v>
      </c>
      <c r="W211" s="41">
        <f t="shared" si="10"/>
        <v>0</v>
      </c>
      <c r="X211" s="121">
        <v>92537.68</v>
      </c>
      <c r="Y211" s="41">
        <f t="shared" si="12"/>
        <v>92537.68</v>
      </c>
      <c r="Z211" s="121">
        <v>104590.47</v>
      </c>
      <c r="AA211" s="121">
        <v>92537.68</v>
      </c>
      <c r="AB211" s="121">
        <v>92537.68</v>
      </c>
      <c r="AC211" s="41">
        <f t="shared" si="11"/>
        <v>92537.68</v>
      </c>
      <c r="AD211" s="121">
        <v>0</v>
      </c>
      <c r="AE211" s="121">
        <v>0</v>
      </c>
      <c r="AF211" s="121">
        <v>0</v>
      </c>
      <c r="AG211" s="121">
        <v>0</v>
      </c>
    </row>
    <row r="212" spans="2:33" ht="14.25" customHeight="1">
      <c r="B212" s="25" t="s">
        <v>628</v>
      </c>
      <c r="C212" s="26" t="s">
        <v>629</v>
      </c>
      <c r="D212" s="121">
        <v>0</v>
      </c>
      <c r="E212" s="121">
        <v>0</v>
      </c>
      <c r="F212" s="121">
        <v>0</v>
      </c>
      <c r="G212" s="121">
        <v>0</v>
      </c>
      <c r="H212" s="121">
        <v>0</v>
      </c>
      <c r="I212" s="121">
        <v>0</v>
      </c>
      <c r="J212" s="121">
        <v>0</v>
      </c>
      <c r="K212" s="121">
        <v>0</v>
      </c>
      <c r="L212" s="121">
        <v>0</v>
      </c>
      <c r="M212" s="121">
        <v>0</v>
      </c>
      <c r="N212" s="121">
        <v>0</v>
      </c>
      <c r="O212" s="121">
        <v>0</v>
      </c>
      <c r="P212" s="121">
        <v>0</v>
      </c>
      <c r="Q212" s="41">
        <f t="shared" si="9"/>
        <v>0</v>
      </c>
      <c r="R212" s="121">
        <v>0</v>
      </c>
      <c r="S212" s="121">
        <v>0</v>
      </c>
      <c r="T212" s="121">
        <v>0</v>
      </c>
      <c r="U212" s="121">
        <v>0</v>
      </c>
      <c r="V212" s="121">
        <v>0</v>
      </c>
      <c r="W212" s="41">
        <f t="shared" si="10"/>
        <v>0</v>
      </c>
      <c r="X212" s="121">
        <v>0</v>
      </c>
      <c r="Y212" s="41">
        <f t="shared" si="12"/>
        <v>0</v>
      </c>
      <c r="Z212" s="121">
        <v>0</v>
      </c>
      <c r="AA212" s="121">
        <v>0</v>
      </c>
      <c r="AB212" s="121">
        <v>0</v>
      </c>
      <c r="AC212" s="41">
        <f t="shared" si="11"/>
        <v>0</v>
      </c>
      <c r="AD212" s="121">
        <v>0</v>
      </c>
      <c r="AE212" s="121">
        <v>0</v>
      </c>
      <c r="AF212" s="121">
        <v>0</v>
      </c>
      <c r="AG212" s="121">
        <v>0</v>
      </c>
    </row>
    <row r="213" spans="2:33" ht="14.25" customHeight="1">
      <c r="B213" s="27" t="s">
        <v>630</v>
      </c>
      <c r="C213" s="28" t="s">
        <v>631</v>
      </c>
      <c r="D213" s="121">
        <v>0</v>
      </c>
      <c r="E213" s="121">
        <v>0</v>
      </c>
      <c r="F213" s="121">
        <v>0</v>
      </c>
      <c r="G213" s="121">
        <v>0</v>
      </c>
      <c r="H213" s="121">
        <v>0</v>
      </c>
      <c r="I213" s="121">
        <v>0</v>
      </c>
      <c r="J213" s="121">
        <v>0</v>
      </c>
      <c r="K213" s="121">
        <v>0</v>
      </c>
      <c r="L213" s="121">
        <v>0</v>
      </c>
      <c r="M213" s="121">
        <v>0</v>
      </c>
      <c r="N213" s="121">
        <v>0</v>
      </c>
      <c r="O213" s="121">
        <v>0</v>
      </c>
      <c r="P213" s="121">
        <v>0</v>
      </c>
      <c r="Q213" s="41">
        <f t="shared" si="9"/>
        <v>0</v>
      </c>
      <c r="R213" s="121">
        <v>0</v>
      </c>
      <c r="S213" s="121">
        <v>0</v>
      </c>
      <c r="T213" s="121">
        <v>0</v>
      </c>
      <c r="U213" s="121">
        <v>0</v>
      </c>
      <c r="V213" s="121">
        <v>0</v>
      </c>
      <c r="W213" s="41">
        <f t="shared" si="10"/>
        <v>0</v>
      </c>
      <c r="X213" s="121">
        <v>0</v>
      </c>
      <c r="Y213" s="41">
        <f t="shared" si="12"/>
        <v>0</v>
      </c>
      <c r="Z213" s="121">
        <v>0</v>
      </c>
      <c r="AA213" s="121">
        <v>0</v>
      </c>
      <c r="AB213" s="121">
        <v>0</v>
      </c>
      <c r="AC213" s="41">
        <f t="shared" si="11"/>
        <v>0</v>
      </c>
      <c r="AD213" s="121">
        <v>0</v>
      </c>
      <c r="AE213" s="121">
        <v>0</v>
      </c>
      <c r="AF213" s="121">
        <v>0</v>
      </c>
      <c r="AG213" s="121">
        <v>0</v>
      </c>
    </row>
    <row r="214" spans="2:33" ht="14.25" customHeight="1">
      <c r="B214" s="25" t="s">
        <v>632</v>
      </c>
      <c r="C214" s="26" t="s">
        <v>633</v>
      </c>
      <c r="D214" s="121">
        <v>169945.35</v>
      </c>
      <c r="E214" s="121">
        <v>0</v>
      </c>
      <c r="F214" s="121">
        <v>159262.78</v>
      </c>
      <c r="G214" s="121">
        <v>0</v>
      </c>
      <c r="H214" s="121">
        <v>157968.22</v>
      </c>
      <c r="I214" s="121">
        <v>0</v>
      </c>
      <c r="J214" s="121">
        <v>225414.18</v>
      </c>
      <c r="K214" s="121">
        <v>0</v>
      </c>
      <c r="L214" s="121">
        <v>0</v>
      </c>
      <c r="M214" s="121">
        <v>0</v>
      </c>
      <c r="N214" s="121">
        <v>0</v>
      </c>
      <c r="O214" s="121">
        <v>0</v>
      </c>
      <c r="P214" s="121">
        <v>0</v>
      </c>
      <c r="Q214" s="41">
        <f>(AE214+0)</f>
        <v>0</v>
      </c>
      <c r="R214" s="121">
        <v>0</v>
      </c>
      <c r="S214" s="121">
        <v>0</v>
      </c>
      <c r="T214" s="121">
        <v>0</v>
      </c>
      <c r="U214" s="121">
        <v>0</v>
      </c>
      <c r="V214" s="121">
        <v>0</v>
      </c>
      <c r="W214" s="41">
        <f t="shared" si="10"/>
        <v>0</v>
      </c>
      <c r="X214" s="121">
        <v>0</v>
      </c>
      <c r="Y214" s="41">
        <f>(P214+0)</f>
        <v>0</v>
      </c>
      <c r="Z214" s="121">
        <v>79420.27</v>
      </c>
      <c r="AA214" s="121">
        <v>326478.16</v>
      </c>
      <c r="AB214" s="121">
        <v>139175.91</v>
      </c>
      <c r="AC214" s="41">
        <f>(T214+0)</f>
        <v>0</v>
      </c>
      <c r="AD214" s="121">
        <v>0</v>
      </c>
      <c r="AE214" s="121">
        <v>0</v>
      </c>
      <c r="AF214" s="121">
        <v>0</v>
      </c>
      <c r="AG214" s="121">
        <v>0</v>
      </c>
    </row>
    <row r="215" spans="2:33" ht="14.25" customHeight="1">
      <c r="B215" s="25" t="s">
        <v>634</v>
      </c>
      <c r="C215" s="26" t="s">
        <v>635</v>
      </c>
      <c r="D215" s="121">
        <v>3463916.65</v>
      </c>
      <c r="E215" s="121">
        <v>0</v>
      </c>
      <c r="F215" s="121">
        <v>3013373.69</v>
      </c>
      <c r="G215" s="121">
        <v>0</v>
      </c>
      <c r="H215" s="121">
        <v>3367888.25</v>
      </c>
      <c r="I215" s="121">
        <v>0</v>
      </c>
      <c r="J215" s="121">
        <v>0</v>
      </c>
      <c r="K215" s="121">
        <v>0</v>
      </c>
      <c r="L215" s="121">
        <v>0</v>
      </c>
      <c r="M215" s="121">
        <v>0</v>
      </c>
      <c r="N215" s="121">
        <v>0</v>
      </c>
      <c r="O215" s="121">
        <v>0</v>
      </c>
      <c r="P215" s="121">
        <v>0</v>
      </c>
      <c r="Q215" s="41">
        <f>(AE215+0)</f>
        <v>0</v>
      </c>
      <c r="R215" s="121">
        <v>0</v>
      </c>
      <c r="S215" s="121">
        <v>0</v>
      </c>
      <c r="T215" s="121">
        <v>0</v>
      </c>
      <c r="U215" s="121">
        <v>0</v>
      </c>
      <c r="V215" s="121">
        <v>0</v>
      </c>
      <c r="W215" s="41">
        <f t="shared" si="10"/>
        <v>0</v>
      </c>
      <c r="X215" s="121">
        <v>2782521.35</v>
      </c>
      <c r="Y215" s="41">
        <f>(P215+0)</f>
        <v>0</v>
      </c>
      <c r="Z215" s="121">
        <v>0</v>
      </c>
      <c r="AA215" s="121">
        <v>0</v>
      </c>
      <c r="AB215" s="121">
        <v>0</v>
      </c>
      <c r="AC215" s="41">
        <f>(T215+0)</f>
        <v>0</v>
      </c>
      <c r="AD215" s="121">
        <v>0</v>
      </c>
      <c r="AE215" s="121">
        <v>0</v>
      </c>
      <c r="AF215" s="121">
        <v>0</v>
      </c>
      <c r="AG215" s="121">
        <v>0</v>
      </c>
    </row>
    <row r="216" spans="2:33" ht="14.25" customHeight="1">
      <c r="B216" s="25" t="s">
        <v>636</v>
      </c>
      <c r="C216" s="26" t="s">
        <v>637</v>
      </c>
      <c r="D216" s="121">
        <v>141513</v>
      </c>
      <c r="E216" s="121">
        <v>0</v>
      </c>
      <c r="F216" s="121">
        <v>141513</v>
      </c>
      <c r="G216" s="121">
        <v>0</v>
      </c>
      <c r="H216" s="121">
        <v>141513</v>
      </c>
      <c r="I216" s="121">
        <v>0</v>
      </c>
      <c r="J216" s="121">
        <v>0</v>
      </c>
      <c r="K216" s="121">
        <v>0</v>
      </c>
      <c r="L216" s="121">
        <v>0</v>
      </c>
      <c r="M216" s="121">
        <v>0</v>
      </c>
      <c r="N216" s="121">
        <v>0</v>
      </c>
      <c r="O216" s="121">
        <v>0</v>
      </c>
      <c r="P216" s="121">
        <v>0</v>
      </c>
      <c r="Q216" s="41">
        <f t="shared" si="9"/>
        <v>0</v>
      </c>
      <c r="R216" s="121">
        <v>0</v>
      </c>
      <c r="S216" s="121">
        <v>0</v>
      </c>
      <c r="T216" s="121">
        <v>0</v>
      </c>
      <c r="U216" s="121">
        <v>0</v>
      </c>
      <c r="V216" s="121">
        <v>0</v>
      </c>
      <c r="W216" s="41">
        <f t="shared" si="10"/>
        <v>0</v>
      </c>
      <c r="X216" s="121">
        <v>141513</v>
      </c>
      <c r="Y216" s="41">
        <f t="shared" si="12"/>
        <v>141513</v>
      </c>
      <c r="Z216" s="121">
        <v>10000</v>
      </c>
      <c r="AA216" s="121">
        <v>0</v>
      </c>
      <c r="AB216" s="121">
        <v>0</v>
      </c>
      <c r="AC216" s="41">
        <f t="shared" si="11"/>
        <v>0</v>
      </c>
      <c r="AD216" s="121">
        <v>0</v>
      </c>
      <c r="AE216" s="121">
        <v>0</v>
      </c>
      <c r="AF216" s="121">
        <v>0</v>
      </c>
      <c r="AG216" s="121">
        <v>0</v>
      </c>
    </row>
    <row r="217" spans="2:33" ht="14.25" customHeight="1">
      <c r="B217" s="27" t="s">
        <v>638</v>
      </c>
      <c r="C217" s="28" t="s">
        <v>639</v>
      </c>
      <c r="D217" s="121">
        <v>3775375</v>
      </c>
      <c r="E217" s="121">
        <v>0</v>
      </c>
      <c r="F217" s="121">
        <v>3314149.47</v>
      </c>
      <c r="G217" s="121">
        <v>0</v>
      </c>
      <c r="H217" s="121">
        <v>3667369.47</v>
      </c>
      <c r="I217" s="121">
        <v>0</v>
      </c>
      <c r="J217" s="121">
        <v>225414.18</v>
      </c>
      <c r="K217" s="121">
        <v>0</v>
      </c>
      <c r="L217" s="121">
        <v>0</v>
      </c>
      <c r="M217" s="121">
        <v>0</v>
      </c>
      <c r="N217" s="121">
        <v>0</v>
      </c>
      <c r="O217" s="121">
        <v>0</v>
      </c>
      <c r="P217" s="121">
        <v>0</v>
      </c>
      <c r="Q217" s="41">
        <f>Q214+Q215+Q216</f>
        <v>0</v>
      </c>
      <c r="R217" s="121">
        <v>0</v>
      </c>
      <c r="S217" s="121">
        <v>0</v>
      </c>
      <c r="T217" s="121">
        <v>0</v>
      </c>
      <c r="U217" s="121">
        <v>0</v>
      </c>
      <c r="V217" s="121">
        <v>0</v>
      </c>
      <c r="W217" s="41">
        <f t="shared" si="10"/>
        <v>0</v>
      </c>
      <c r="X217" s="121">
        <v>2924034.35</v>
      </c>
      <c r="Y217" s="41">
        <f>Y214+Y215+Y216</f>
        <v>141513</v>
      </c>
      <c r="Z217" s="121">
        <v>89420.27</v>
      </c>
      <c r="AA217" s="121">
        <v>326478.16</v>
      </c>
      <c r="AB217" s="121">
        <v>139175.91</v>
      </c>
      <c r="AC217" s="41">
        <f>AC214+AC215+AC216</f>
        <v>0</v>
      </c>
      <c r="AD217" s="121">
        <v>0</v>
      </c>
      <c r="AE217" s="121">
        <v>0</v>
      </c>
      <c r="AF217" s="121">
        <v>0</v>
      </c>
      <c r="AG217" s="121">
        <v>0</v>
      </c>
    </row>
    <row r="218" spans="2:33" ht="14.25" customHeight="1">
      <c r="B218" s="25" t="s">
        <v>640</v>
      </c>
      <c r="C218" s="26" t="s">
        <v>641</v>
      </c>
      <c r="D218" s="121">
        <v>0</v>
      </c>
      <c r="E218" s="121">
        <v>0</v>
      </c>
      <c r="F218" s="121">
        <v>0</v>
      </c>
      <c r="G218" s="121">
        <v>0</v>
      </c>
      <c r="H218" s="121">
        <v>0</v>
      </c>
      <c r="I218" s="121">
        <v>0</v>
      </c>
      <c r="J218" s="121">
        <v>0</v>
      </c>
      <c r="K218" s="121">
        <v>0</v>
      </c>
      <c r="L218" s="121">
        <v>0</v>
      </c>
      <c r="M218" s="121">
        <v>0</v>
      </c>
      <c r="N218" s="121">
        <v>0</v>
      </c>
      <c r="O218" s="121">
        <v>0</v>
      </c>
      <c r="P218" s="121">
        <v>0</v>
      </c>
      <c r="Q218" s="41">
        <f t="shared" si="9"/>
        <v>0</v>
      </c>
      <c r="R218" s="121">
        <v>0</v>
      </c>
      <c r="S218" s="121">
        <v>0</v>
      </c>
      <c r="T218" s="121">
        <v>0</v>
      </c>
      <c r="U218" s="121">
        <v>0</v>
      </c>
      <c r="V218" s="121">
        <v>0</v>
      </c>
      <c r="W218" s="41">
        <f t="shared" si="10"/>
        <v>0</v>
      </c>
      <c r="X218" s="121">
        <v>0</v>
      </c>
      <c r="Y218" s="41">
        <f t="shared" si="12"/>
        <v>0</v>
      </c>
      <c r="Z218" s="121">
        <v>0</v>
      </c>
      <c r="AA218" s="121">
        <v>0</v>
      </c>
      <c r="AB218" s="121">
        <v>0</v>
      </c>
      <c r="AC218" s="41">
        <f t="shared" si="11"/>
        <v>0</v>
      </c>
      <c r="AD218" s="121">
        <v>0</v>
      </c>
      <c r="AE218" s="121">
        <v>0</v>
      </c>
      <c r="AF218" s="121">
        <v>0</v>
      </c>
      <c r="AG218" s="121">
        <v>0</v>
      </c>
    </row>
    <row r="219" spans="2:33" ht="14.25" customHeight="1">
      <c r="B219" s="25" t="s">
        <v>642</v>
      </c>
      <c r="C219" s="26" t="s">
        <v>643</v>
      </c>
      <c r="D219" s="121">
        <v>418998.07</v>
      </c>
      <c r="E219" s="121">
        <v>0</v>
      </c>
      <c r="F219" s="121">
        <v>439757.65</v>
      </c>
      <c r="G219" s="121">
        <v>0</v>
      </c>
      <c r="H219" s="121">
        <v>461557.25</v>
      </c>
      <c r="I219" s="121">
        <v>0</v>
      </c>
      <c r="J219" s="121">
        <v>418998.07</v>
      </c>
      <c r="K219" s="121">
        <v>0</v>
      </c>
      <c r="L219" s="121">
        <v>432615.4</v>
      </c>
      <c r="M219" s="121">
        <v>0</v>
      </c>
      <c r="N219" s="121">
        <v>385659.08</v>
      </c>
      <c r="O219" s="121">
        <v>0</v>
      </c>
      <c r="P219" s="121">
        <v>404834.14</v>
      </c>
      <c r="Q219" s="41">
        <f t="shared" si="9"/>
        <v>0</v>
      </c>
      <c r="R219" s="121">
        <v>432615.4</v>
      </c>
      <c r="S219" s="121">
        <v>385659.08</v>
      </c>
      <c r="T219" s="121">
        <v>404834.14</v>
      </c>
      <c r="U219" s="121">
        <v>0</v>
      </c>
      <c r="V219" s="121">
        <v>0</v>
      </c>
      <c r="W219" s="41">
        <f t="shared" si="10"/>
        <v>0</v>
      </c>
      <c r="X219" s="121">
        <v>404834.14</v>
      </c>
      <c r="Y219" s="41">
        <f t="shared" si="12"/>
        <v>404834.14</v>
      </c>
      <c r="Z219" s="121">
        <v>432615.4</v>
      </c>
      <c r="AA219" s="121">
        <v>385659.08</v>
      </c>
      <c r="AB219" s="121">
        <v>404834.14</v>
      </c>
      <c r="AC219" s="41">
        <f t="shared" si="11"/>
        <v>404834.14</v>
      </c>
      <c r="AD219" s="121">
        <v>0</v>
      </c>
      <c r="AE219" s="121">
        <v>0</v>
      </c>
      <c r="AF219" s="121">
        <v>0</v>
      </c>
      <c r="AG219" s="121">
        <v>0</v>
      </c>
    </row>
    <row r="220" spans="2:33" ht="14.25" customHeight="1">
      <c r="B220" s="27" t="s">
        <v>644</v>
      </c>
      <c r="C220" s="28" t="s">
        <v>645</v>
      </c>
      <c r="D220" s="121">
        <v>418998.07</v>
      </c>
      <c r="E220" s="121">
        <v>0</v>
      </c>
      <c r="F220" s="121">
        <v>439757.65</v>
      </c>
      <c r="G220" s="121">
        <v>0</v>
      </c>
      <c r="H220" s="121">
        <v>461557.25</v>
      </c>
      <c r="I220" s="121">
        <v>0</v>
      </c>
      <c r="J220" s="121">
        <v>418998.07</v>
      </c>
      <c r="K220" s="121">
        <v>0</v>
      </c>
      <c r="L220" s="121">
        <v>432615.4</v>
      </c>
      <c r="M220" s="121">
        <v>0</v>
      </c>
      <c r="N220" s="121">
        <v>385659.08</v>
      </c>
      <c r="O220" s="121">
        <v>0</v>
      </c>
      <c r="P220" s="121">
        <v>404834.14</v>
      </c>
      <c r="Q220" s="41">
        <f t="shared" si="9"/>
        <v>0</v>
      </c>
      <c r="R220" s="121">
        <v>432615.4</v>
      </c>
      <c r="S220" s="121">
        <v>385659.08</v>
      </c>
      <c r="T220" s="121">
        <v>404834.14</v>
      </c>
      <c r="U220" s="121">
        <v>0</v>
      </c>
      <c r="V220" s="121">
        <v>0</v>
      </c>
      <c r="W220" s="41">
        <f t="shared" si="10"/>
        <v>0</v>
      </c>
      <c r="X220" s="121">
        <v>404834.14</v>
      </c>
      <c r="Y220" s="41">
        <f t="shared" si="12"/>
        <v>404834.14</v>
      </c>
      <c r="Z220" s="121">
        <v>432615.4</v>
      </c>
      <c r="AA220" s="121">
        <v>385659.08</v>
      </c>
      <c r="AB220" s="121">
        <v>404834.14</v>
      </c>
      <c r="AC220" s="41">
        <f t="shared" si="11"/>
        <v>404834.14</v>
      </c>
      <c r="AD220" s="121">
        <v>0</v>
      </c>
      <c r="AE220" s="121">
        <v>0</v>
      </c>
      <c r="AF220" s="121">
        <v>0</v>
      </c>
      <c r="AG220" s="121">
        <v>0</v>
      </c>
    </row>
    <row r="221" spans="2:33" ht="14.25" customHeight="1">
      <c r="B221" s="25" t="s">
        <v>646</v>
      </c>
      <c r="C221" s="26" t="s">
        <v>647</v>
      </c>
      <c r="D221" s="121">
        <v>0</v>
      </c>
      <c r="E221" s="121">
        <v>0</v>
      </c>
      <c r="F221" s="121">
        <v>0</v>
      </c>
      <c r="G221" s="121">
        <v>0</v>
      </c>
      <c r="H221" s="121">
        <v>0</v>
      </c>
      <c r="I221" s="121">
        <v>0</v>
      </c>
      <c r="J221" s="121">
        <v>0</v>
      </c>
      <c r="K221" s="121">
        <v>0</v>
      </c>
      <c r="L221" s="121">
        <v>0</v>
      </c>
      <c r="M221" s="121">
        <v>0</v>
      </c>
      <c r="N221" s="121">
        <v>0</v>
      </c>
      <c r="O221" s="121">
        <v>0</v>
      </c>
      <c r="P221" s="121">
        <v>0</v>
      </c>
      <c r="Q221" s="41">
        <f t="shared" si="9"/>
        <v>0</v>
      </c>
      <c r="R221" s="121">
        <v>0</v>
      </c>
      <c r="S221" s="121">
        <v>0</v>
      </c>
      <c r="T221" s="121">
        <v>0</v>
      </c>
      <c r="U221" s="121">
        <v>0</v>
      </c>
      <c r="V221" s="121">
        <v>0</v>
      </c>
      <c r="W221" s="41">
        <f t="shared" si="10"/>
        <v>0</v>
      </c>
      <c r="X221" s="121">
        <v>0</v>
      </c>
      <c r="Y221" s="41">
        <f t="shared" si="12"/>
        <v>0</v>
      </c>
      <c r="Z221" s="121">
        <v>0</v>
      </c>
      <c r="AA221" s="121">
        <v>0</v>
      </c>
      <c r="AB221" s="121">
        <v>0</v>
      </c>
      <c r="AC221" s="41">
        <f t="shared" si="11"/>
        <v>0</v>
      </c>
      <c r="AD221" s="121">
        <v>0</v>
      </c>
      <c r="AE221" s="121">
        <v>0</v>
      </c>
      <c r="AF221" s="121">
        <v>0</v>
      </c>
      <c r="AG221" s="121">
        <v>0</v>
      </c>
    </row>
    <row r="222" spans="2:33" ht="14.25" customHeight="1">
      <c r="B222" s="27" t="s">
        <v>648</v>
      </c>
      <c r="C222" s="28" t="s">
        <v>649</v>
      </c>
      <c r="D222" s="121">
        <v>0</v>
      </c>
      <c r="E222" s="121">
        <v>0</v>
      </c>
      <c r="F222" s="121">
        <v>0</v>
      </c>
      <c r="G222" s="121">
        <v>0</v>
      </c>
      <c r="H222" s="121">
        <v>0</v>
      </c>
      <c r="I222" s="121">
        <v>0</v>
      </c>
      <c r="J222" s="121">
        <v>0</v>
      </c>
      <c r="K222" s="121">
        <v>0</v>
      </c>
      <c r="L222" s="121">
        <v>0</v>
      </c>
      <c r="M222" s="121">
        <v>0</v>
      </c>
      <c r="N222" s="121">
        <v>0</v>
      </c>
      <c r="O222" s="121">
        <v>0</v>
      </c>
      <c r="P222" s="121">
        <v>0</v>
      </c>
      <c r="Q222" s="41">
        <f t="shared" si="9"/>
        <v>0</v>
      </c>
      <c r="R222" s="121">
        <v>0</v>
      </c>
      <c r="S222" s="121">
        <v>0</v>
      </c>
      <c r="T222" s="121">
        <v>0</v>
      </c>
      <c r="U222" s="121">
        <v>0</v>
      </c>
      <c r="V222" s="121">
        <v>0</v>
      </c>
      <c r="W222" s="41">
        <f t="shared" si="10"/>
        <v>0</v>
      </c>
      <c r="X222" s="121">
        <v>0</v>
      </c>
      <c r="Y222" s="41">
        <f t="shared" si="12"/>
        <v>0</v>
      </c>
      <c r="Z222" s="121">
        <v>0</v>
      </c>
      <c r="AA222" s="121">
        <v>0</v>
      </c>
      <c r="AB222" s="121">
        <v>0</v>
      </c>
      <c r="AC222" s="41">
        <f t="shared" si="11"/>
        <v>0</v>
      </c>
      <c r="AD222" s="121">
        <v>0</v>
      </c>
      <c r="AE222" s="121">
        <v>0</v>
      </c>
      <c r="AF222" s="121">
        <v>0</v>
      </c>
      <c r="AG222" s="121">
        <v>0</v>
      </c>
    </row>
    <row r="223" spans="2:33" ht="14.25" customHeight="1">
      <c r="B223" s="25" t="s">
        <v>650</v>
      </c>
      <c r="C223" s="26" t="s">
        <v>651</v>
      </c>
      <c r="D223" s="121">
        <v>6503000</v>
      </c>
      <c r="E223" s="121">
        <v>0</v>
      </c>
      <c r="F223" s="121">
        <v>6503000</v>
      </c>
      <c r="G223" s="121">
        <v>0</v>
      </c>
      <c r="H223" s="121">
        <v>6503000</v>
      </c>
      <c r="I223" s="121">
        <v>0</v>
      </c>
      <c r="J223" s="121">
        <v>8596509.52</v>
      </c>
      <c r="K223" s="121">
        <v>2093509.52</v>
      </c>
      <c r="L223" s="121">
        <v>3118719.81</v>
      </c>
      <c r="M223" s="121">
        <v>0</v>
      </c>
      <c r="N223" s="121">
        <v>3583493.74</v>
      </c>
      <c r="O223" s="121">
        <v>0</v>
      </c>
      <c r="P223" s="121">
        <v>3952302.41</v>
      </c>
      <c r="Q223" s="41">
        <f t="shared" si="9"/>
        <v>0</v>
      </c>
      <c r="R223" s="121">
        <v>3147987.09</v>
      </c>
      <c r="S223" s="121">
        <v>3289519.03</v>
      </c>
      <c r="T223" s="121">
        <v>3044618.72</v>
      </c>
      <c r="U223" s="121">
        <v>921118.4</v>
      </c>
      <c r="V223" s="121">
        <v>891851.12</v>
      </c>
      <c r="W223" s="41">
        <f t="shared" si="10"/>
        <v>1185825.83</v>
      </c>
      <c r="X223" s="121">
        <v>6513000</v>
      </c>
      <c r="Y223" s="41">
        <f t="shared" si="12"/>
        <v>6513000</v>
      </c>
      <c r="Z223" s="121">
        <v>7331953.06</v>
      </c>
      <c r="AA223" s="121">
        <v>7244851.12</v>
      </c>
      <c r="AB223" s="121">
        <v>7698825.83</v>
      </c>
      <c r="AC223" s="41">
        <f t="shared" si="11"/>
        <v>7698825.83</v>
      </c>
      <c r="AD223" s="121">
        <v>0</v>
      </c>
      <c r="AE223" s="121">
        <v>0</v>
      </c>
      <c r="AF223" s="121">
        <v>1185825.83</v>
      </c>
      <c r="AG223" s="121">
        <v>1185825.83</v>
      </c>
    </row>
    <row r="224" spans="2:33" ht="14.25" customHeight="1">
      <c r="B224" s="25" t="s">
        <v>652</v>
      </c>
      <c r="C224" s="26" t="s">
        <v>653</v>
      </c>
      <c r="D224" s="121">
        <v>0</v>
      </c>
      <c r="E224" s="121">
        <v>0</v>
      </c>
      <c r="F224" s="121">
        <v>0</v>
      </c>
      <c r="G224" s="121">
        <v>0</v>
      </c>
      <c r="H224" s="121">
        <v>0</v>
      </c>
      <c r="I224" s="121">
        <v>0</v>
      </c>
      <c r="J224" s="121">
        <v>0</v>
      </c>
      <c r="K224" s="121">
        <v>0</v>
      </c>
      <c r="L224" s="121">
        <v>0</v>
      </c>
      <c r="M224" s="121">
        <v>0</v>
      </c>
      <c r="N224" s="121">
        <v>0</v>
      </c>
      <c r="O224" s="121">
        <v>0</v>
      </c>
      <c r="P224" s="121">
        <v>0</v>
      </c>
      <c r="Q224" s="41">
        <f t="shared" si="9"/>
        <v>0</v>
      </c>
      <c r="R224" s="121">
        <v>0</v>
      </c>
      <c r="S224" s="121">
        <v>0</v>
      </c>
      <c r="T224" s="121">
        <v>0</v>
      </c>
      <c r="U224" s="121">
        <v>0</v>
      </c>
      <c r="V224" s="121">
        <v>0</v>
      </c>
      <c r="W224" s="41">
        <f t="shared" si="10"/>
        <v>0</v>
      </c>
      <c r="X224" s="121">
        <v>0</v>
      </c>
      <c r="Y224" s="41">
        <f t="shared" si="12"/>
        <v>0</v>
      </c>
      <c r="Z224" s="121">
        <v>0</v>
      </c>
      <c r="AA224" s="121">
        <v>0</v>
      </c>
      <c r="AB224" s="121">
        <v>0</v>
      </c>
      <c r="AC224" s="41">
        <f t="shared" si="11"/>
        <v>0</v>
      </c>
      <c r="AD224" s="121">
        <v>0</v>
      </c>
      <c r="AE224" s="121">
        <v>0</v>
      </c>
      <c r="AF224" s="121">
        <v>0</v>
      </c>
      <c r="AG224" s="121">
        <v>0</v>
      </c>
    </row>
    <row r="225" spans="2:33" ht="14.25" customHeight="1">
      <c r="B225" s="27" t="s">
        <v>654</v>
      </c>
      <c r="C225" s="28" t="s">
        <v>655</v>
      </c>
      <c r="D225" s="121">
        <v>6503000</v>
      </c>
      <c r="E225" s="121">
        <v>0</v>
      </c>
      <c r="F225" s="121">
        <v>6503000</v>
      </c>
      <c r="G225" s="121">
        <v>0</v>
      </c>
      <c r="H225" s="121">
        <v>6503000</v>
      </c>
      <c r="I225" s="121">
        <v>0</v>
      </c>
      <c r="J225" s="121">
        <v>8596509.52</v>
      </c>
      <c r="K225" s="121">
        <v>2093509.52</v>
      </c>
      <c r="L225" s="121">
        <v>3118719.81</v>
      </c>
      <c r="M225" s="121">
        <v>0</v>
      </c>
      <c r="N225" s="121">
        <v>3583493.74</v>
      </c>
      <c r="O225" s="121">
        <v>0</v>
      </c>
      <c r="P225" s="121">
        <v>3952302.41</v>
      </c>
      <c r="Q225" s="41">
        <f t="shared" si="9"/>
        <v>0</v>
      </c>
      <c r="R225" s="121">
        <v>3147987.09</v>
      </c>
      <c r="S225" s="121">
        <v>3289519.03</v>
      </c>
      <c r="T225" s="121">
        <v>3044618.72</v>
      </c>
      <c r="U225" s="121">
        <v>921118.4</v>
      </c>
      <c r="V225" s="121">
        <v>891851.12</v>
      </c>
      <c r="W225" s="41">
        <f t="shared" si="10"/>
        <v>1185825.83</v>
      </c>
      <c r="X225" s="121">
        <v>6513000</v>
      </c>
      <c r="Y225" s="41">
        <f t="shared" si="12"/>
        <v>6513000</v>
      </c>
      <c r="Z225" s="121">
        <v>7331953.06</v>
      </c>
      <c r="AA225" s="121">
        <v>7244851.12</v>
      </c>
      <c r="AB225" s="121">
        <v>7698825.83</v>
      </c>
      <c r="AC225" s="41">
        <f t="shared" si="11"/>
        <v>7698825.83</v>
      </c>
      <c r="AD225" s="121">
        <v>0</v>
      </c>
      <c r="AE225" s="121">
        <v>0</v>
      </c>
      <c r="AF225" s="121">
        <v>1185825.83</v>
      </c>
      <c r="AG225" s="121">
        <v>1185825.83</v>
      </c>
    </row>
    <row r="226" spans="2:33" ht="14.25" customHeight="1">
      <c r="B226" s="25"/>
      <c r="C226" s="68"/>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row>
    <row r="227" spans="2:33" ht="14.25" customHeight="1">
      <c r="B227" s="27"/>
      <c r="C227" s="69"/>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row>
    <row r="228" spans="2:33" ht="15" customHeight="1">
      <c r="B228" s="70" t="s">
        <v>825</v>
      </c>
      <c r="C228" s="71" t="s">
        <v>656</v>
      </c>
      <c r="D228" s="121">
        <v>72519740.9</v>
      </c>
      <c r="E228" s="121">
        <v>384766.07</v>
      </c>
      <c r="F228" s="121">
        <v>69237556.92</v>
      </c>
      <c r="G228" s="121">
        <v>293860.03</v>
      </c>
      <c r="H228" s="121">
        <v>54479477.3</v>
      </c>
      <c r="I228" s="121">
        <v>293860.14</v>
      </c>
      <c r="J228" s="121">
        <v>77883860.1</v>
      </c>
      <c r="K228" s="121">
        <v>9459261.92</v>
      </c>
      <c r="L228" s="121">
        <v>36441695.41</v>
      </c>
      <c r="M228" s="121">
        <v>2323413.33</v>
      </c>
      <c r="N228" s="121">
        <v>37624491.4</v>
      </c>
      <c r="O228" s="121">
        <v>3962457.66</v>
      </c>
      <c r="P228" s="121">
        <v>40590137.36</v>
      </c>
      <c r="Q228" s="41">
        <f t="shared" si="9"/>
        <v>2928017.11</v>
      </c>
      <c r="R228" s="121">
        <v>35618880.55</v>
      </c>
      <c r="S228" s="121">
        <v>37913948.43</v>
      </c>
      <c r="T228" s="121">
        <v>38806543.81</v>
      </c>
      <c r="U228" s="121">
        <v>8114562.46</v>
      </c>
      <c r="V228" s="121">
        <v>7965290.47</v>
      </c>
      <c r="W228" s="41">
        <f>IF($D$239=1,AF128,(AG228+0))</f>
        <v>7675833.44</v>
      </c>
      <c r="X228" s="121">
        <v>55329454.31</v>
      </c>
      <c r="Y228" s="41">
        <f t="shared" si="12"/>
        <v>52401437.2</v>
      </c>
      <c r="Z228" s="121">
        <v>71272550.04</v>
      </c>
      <c r="AA228" s="121">
        <v>81695292.34</v>
      </c>
      <c r="AB228" s="121">
        <v>57292412.2</v>
      </c>
      <c r="AC228" s="41">
        <f>IF($D$239=1,T228,(AB228+0))</f>
        <v>57292412.2</v>
      </c>
      <c r="AD228" s="121">
        <v>2928017.11</v>
      </c>
      <c r="AE228" s="121">
        <v>0</v>
      </c>
      <c r="AF228" s="121">
        <v>7675805.97</v>
      </c>
      <c r="AG228" s="121">
        <v>7675833.44</v>
      </c>
    </row>
    <row r="231" spans="3:8" ht="15.75" customHeight="1">
      <c r="C231" s="30" t="s">
        <v>657</v>
      </c>
      <c r="D231" s="123" t="s">
        <v>215</v>
      </c>
      <c r="H231" s="31"/>
    </row>
    <row r="232" spans="3:8" ht="15.75" customHeight="1">
      <c r="C232" s="30" t="s">
        <v>658</v>
      </c>
      <c r="D232" s="123" t="s">
        <v>216</v>
      </c>
      <c r="H232" s="31"/>
    </row>
    <row r="233" spans="3:8" ht="14.25" customHeight="1">
      <c r="C233" s="3" t="s">
        <v>659</v>
      </c>
      <c r="D233" s="123" t="s">
        <v>217</v>
      </c>
      <c r="H233" s="31"/>
    </row>
    <row r="234" spans="3:8" ht="14.25" customHeight="1">
      <c r="C234" s="3" t="s">
        <v>660</v>
      </c>
      <c r="D234" s="31">
        <f>D233+1</f>
        <v>2019</v>
      </c>
      <c r="H234" s="31"/>
    </row>
    <row r="235" spans="3:8" ht="14.25" customHeight="1">
      <c r="C235" s="3" t="s">
        <v>661</v>
      </c>
      <c r="D235" s="31">
        <f>D234+1</f>
        <v>2020</v>
      </c>
      <c r="H235" s="31"/>
    </row>
    <row r="236" spans="3:8" ht="14.25" customHeight="1">
      <c r="C236" s="3" t="s">
        <v>662</v>
      </c>
      <c r="D236" s="124"/>
      <c r="H236" s="31"/>
    </row>
    <row r="238" spans="3:4" ht="14.25" customHeight="1">
      <c r="C238" s="3" t="s">
        <v>826</v>
      </c>
      <c r="D238" s="125">
        <v>3</v>
      </c>
    </row>
    <row r="239" spans="3:4" ht="14.25" customHeight="1">
      <c r="C239" s="82" t="s">
        <v>151</v>
      </c>
      <c r="D239" s="125">
        <v>2</v>
      </c>
    </row>
    <row r="241" ht="14.25" customHeight="1">
      <c r="C241" s="120"/>
    </row>
    <row r="242" ht="14.25" customHeight="1">
      <c r="C242" s="120"/>
    </row>
  </sheetData>
  <sheetProtection/>
  <mergeCells count="3">
    <mergeCell ref="A1:Q2"/>
    <mergeCell ref="A75:Q76"/>
    <mergeCell ref="A120:Q121"/>
  </mergeCells>
  <printOptions/>
  <pageMargins left="0.11811023622047245" right="0.11811023622047245" top="0.1968503937007874" bottom="0.1968503937007874" header="0.11811023622047245" footer="0.1968503937007874"/>
  <pageSetup horizontalDpi="600" verticalDpi="600" orientation="landscape" pageOrder="overThenDown" paperSize="8" scale="38" r:id="rId1"/>
</worksheet>
</file>

<file path=xl/worksheets/sheet2.xml><?xml version="1.0" encoding="utf-8"?>
<worksheet xmlns="http://schemas.openxmlformats.org/spreadsheetml/2006/main" xmlns:r="http://schemas.openxmlformats.org/officeDocument/2006/relationships">
  <dimension ref="A1:J65"/>
  <sheetViews>
    <sheetView zoomScale="70" zoomScaleNormal="70" zoomScalePageLayoutView="0" workbookViewId="0" topLeftCell="A1">
      <selection activeCell="A1" sqref="A1:G65"/>
    </sheetView>
  </sheetViews>
  <sheetFormatPr defaultColWidth="8.8515625" defaultRowHeight="15"/>
  <cols>
    <col min="1" max="1" width="5.421875" style="93" customWidth="1"/>
    <col min="2" max="2" width="45.8515625" style="93" customWidth="1"/>
    <col min="3" max="3" width="58.7109375" style="93" customWidth="1"/>
    <col min="4" max="6" width="12.57421875" style="93" customWidth="1"/>
    <col min="7" max="7" width="8.8515625" style="93" customWidth="1"/>
    <col min="8" max="8" width="10.00390625" style="93" bestFit="1" customWidth="1"/>
    <col min="9" max="9" width="19.28125" style="93" customWidth="1"/>
    <col min="10" max="10" width="10.7109375" style="93" bestFit="1" customWidth="1"/>
    <col min="11" max="16384" width="8.8515625" style="93" customWidth="1"/>
  </cols>
  <sheetData>
    <row r="1" spans="1:6" ht="18" customHeight="1">
      <c r="A1" s="62" t="str">
        <f>CONCATENATE("Denominazione Ente: ",Dati!D231," - ",Dati!D232)</f>
        <v>Denominazione Ente: COMUNE DI IGLESIAS - PROVINCIA SUD SARDEGNA</v>
      </c>
      <c r="B1" s="92"/>
      <c r="C1" s="92"/>
      <c r="D1" s="92"/>
      <c r="E1" s="92"/>
      <c r="F1" s="92"/>
    </row>
    <row r="2" spans="1:6" ht="18" customHeight="1">
      <c r="A2" s="62"/>
      <c r="B2" s="94"/>
      <c r="C2" s="92"/>
      <c r="D2" s="95"/>
      <c r="E2" s="63" t="s">
        <v>845</v>
      </c>
      <c r="F2" s="96"/>
    </row>
    <row r="3" spans="1:6" ht="23.25" customHeight="1">
      <c r="A3" s="132" t="s">
        <v>663</v>
      </c>
      <c r="B3" s="132"/>
      <c r="C3" s="132"/>
      <c r="D3" s="132"/>
      <c r="E3" s="132"/>
      <c r="F3" s="132"/>
    </row>
    <row r="4" spans="1:6" ht="18" customHeight="1">
      <c r="A4" s="128" t="str">
        <f>CONCATENATE("                                                Bilancio di Previsione esercizi ",Dati!D233,",",Dati!D234," e ",Dati!D235)</f>
        <v>                                                Bilancio di Previsione esercizi 2018,2019 e 2020</v>
      </c>
      <c r="B4" s="129"/>
      <c r="C4" s="129"/>
      <c r="D4" s="130" t="str">
        <f>CONCATENATE("approvato il ")</f>
        <v>approvato il </v>
      </c>
      <c r="E4" s="131"/>
      <c r="F4" s="97">
        <f>IF(Dati!$D$236&lt;&gt;"",Dati!$D$236,"")</f>
      </c>
    </row>
    <row r="5" spans="1:6" ht="18" customHeight="1">
      <c r="A5" s="133" t="s">
        <v>664</v>
      </c>
      <c r="B5" s="133"/>
      <c r="C5" s="133"/>
      <c r="D5" s="133"/>
      <c r="E5" s="133"/>
      <c r="F5" s="133"/>
    </row>
    <row r="6" spans="1:6" ht="54" customHeight="1">
      <c r="A6" s="134" t="s">
        <v>685</v>
      </c>
      <c r="B6" s="135"/>
      <c r="C6" s="138" t="s">
        <v>765</v>
      </c>
      <c r="D6" s="140" t="s">
        <v>686</v>
      </c>
      <c r="E6" s="141"/>
      <c r="F6" s="142"/>
    </row>
    <row r="7" spans="1:6" ht="23.25" customHeight="1">
      <c r="A7" s="136"/>
      <c r="B7" s="137"/>
      <c r="C7" s="139"/>
      <c r="D7" s="98" t="str">
        <f>Dati!D233</f>
        <v>2018</v>
      </c>
      <c r="E7" s="98">
        <f>Dati!D234</f>
        <v>2019</v>
      </c>
      <c r="F7" s="98">
        <f>Dati!D235</f>
        <v>2020</v>
      </c>
    </row>
    <row r="8" spans="1:6" s="92" customFormat="1" ht="18.75" customHeight="1">
      <c r="A8" s="99">
        <v>1</v>
      </c>
      <c r="B8" s="99" t="s">
        <v>687</v>
      </c>
      <c r="C8" s="99"/>
      <c r="D8" s="99"/>
      <c r="E8" s="99"/>
      <c r="F8" s="99"/>
    </row>
    <row r="9" spans="1:6" ht="100.5" customHeight="1">
      <c r="A9" s="48" t="s">
        <v>665</v>
      </c>
      <c r="B9" s="49" t="s">
        <v>688</v>
      </c>
      <c r="C9" s="49" t="s">
        <v>737</v>
      </c>
      <c r="D9" s="88">
        <f>(Dati!D31+Dati!D34+Dati!D50+Dati!D66+Dati!D40-Dati!D11+Dati!D39)/(Dati!D14+Dati!D17+Dati!D18)</f>
        <v>0.20112327520749793</v>
      </c>
      <c r="E9" s="88">
        <f>(Dati!E31+Dati!E34+Dati!E50+Dati!E66+Dati!E40-Dati!E11+Dati!E39)/(Dati!E14+Dati!E17+Dati!E18)</f>
        <v>0.20391437659170097</v>
      </c>
      <c r="F9" s="88">
        <f>(Dati!F31+Dati!F34+Dati!F50+Dati!F66+Dati!F40-Dati!F11+Dati!F39)/(Dati!F14+Dati!F17+Dati!F18)</f>
        <v>0.20227085669175612</v>
      </c>
    </row>
    <row r="10" spans="1:6" s="92" customFormat="1" ht="18.75" customHeight="1">
      <c r="A10" s="99">
        <v>2</v>
      </c>
      <c r="B10" s="100" t="s">
        <v>689</v>
      </c>
      <c r="C10" s="101"/>
      <c r="D10" s="102"/>
      <c r="E10" s="102"/>
      <c r="F10" s="103"/>
    </row>
    <row r="11" spans="1:9" ht="52.5" customHeight="1">
      <c r="A11" s="48" t="s">
        <v>666</v>
      </c>
      <c r="B11" s="49" t="s">
        <v>690</v>
      </c>
      <c r="C11" s="49" t="s">
        <v>738</v>
      </c>
      <c r="D11" s="104">
        <f>(IF(Dati!$D$238=3,(Dati!$G$14+Dati!$G$17+Dati!$G$18+Dati!$H$14+Dati!$H$17+Dati!$H$18+Dati!$W$14+Dati!$W$17+Dati!$W$18),(Dati!$H$14+Dati!$H$17+Dati!$H$18+Dati!$W$14+Dati!$W$17+Dati!$W$18))/Dati!$D$238)/(Dati!D14+Dati!D17+Dati!D18)</f>
        <v>0.9504357985287988</v>
      </c>
      <c r="E11" s="104">
        <f>(IF(Dati!$D$238=3,(Dati!$G$14+Dati!$G$17+Dati!$G$18+Dati!$H$14+Dati!$H$17+Dati!$H$18+Dati!$W$14+Dati!$W$17+Dati!$W$18),(Dati!$H$14+Dati!$H$17+Dati!$H$18+Dati!$W$14+Dati!$W$17+Dati!$W$18))/Dati!$D$238)/(Dati!E14+Dati!E17+Dati!E18)</f>
        <v>0.9915293614193593</v>
      </c>
      <c r="F11" s="104">
        <f>(IF(Dati!$D$238=3,(Dati!$G$14+Dati!$G$17+Dati!$G$18+Dati!$H$14+Dati!$H$17+Dati!$H$18+Dati!$W$14+Dati!$W$17+Dati!$W$18),(Dati!$H$14+Dati!$H$17+Dati!$H$18+Dati!$W$14+Dati!$W$17+Dati!$W$18))/Dati!$D$238)/(Dati!F14+Dati!F17+Dati!F18)</f>
        <v>0.9915293614193593</v>
      </c>
      <c r="I11" s="105"/>
    </row>
    <row r="12" spans="1:6" ht="58.5" customHeight="1">
      <c r="A12" s="48" t="s">
        <v>667</v>
      </c>
      <c r="B12" s="85" t="s">
        <v>81</v>
      </c>
      <c r="C12" s="49" t="s">
        <v>739</v>
      </c>
      <c r="D12" s="88">
        <f>(IF(Dati!$D$238=3,(Dati!T14+Dati!T17+Dati!T18+Dati!U14+Dati!U17+Dati!U18+Dati!X14+Dati!X17+Dati!X18),(Dati!U14+Dati!U17+Dati!U18+Dati!X14+Dati!X17+Dati!X18))/Dati!$D$238)/(Dati!S14+Dati!S17+Dati!S18)</f>
        <v>0.7229962822790155</v>
      </c>
      <c r="E12" s="88"/>
      <c r="F12" s="88"/>
    </row>
    <row r="13" spans="1:6" ht="75.75" customHeight="1">
      <c r="A13" s="48" t="s">
        <v>668</v>
      </c>
      <c r="B13" s="49" t="s">
        <v>691</v>
      </c>
      <c r="C13" s="49" t="s">
        <v>740</v>
      </c>
      <c r="D13" s="88">
        <f>(IF(Dati!$D$238=3,(Dati!$G$15+Dati!$G$16+Dati!$G$18+Dati!$H$15+Dati!$H$16+Dati!$H$18+Dati!$W$15+Dati!$W$16+Dati!$W$18),(Dati!$H$15+Dati!$H$16+Dati!$H$18+Dati!$W$15+Dati!$W$16+Dati!$W$18))/Dati!$D$238)/(Dati!D14+Dati!D17+Dati!D18)</f>
        <v>0.4896480443011808</v>
      </c>
      <c r="E13" s="88">
        <f>(IF(Dati!$D$238=3,(Dati!$G$15+Dati!$G$16+Dati!$G$18+Dati!$H$15+Dati!$H$16+Dati!$H$18+Dati!$W$15+Dati!$W$16+Dati!$W$18),(Dati!$H$15+Dati!$H$16+Dati!$H$18+Dati!$W$15+Dati!$W$16+Dati!$W$18))/Dati!$D$238)/(Dati!E14+Dati!E17+Dati!E18)</f>
        <v>0.5108187354029647</v>
      </c>
      <c r="F13" s="88">
        <f>(IF(Dati!$D$238=3,(Dati!$G$15+Dati!$G$16+Dati!$G$18+Dati!$H$15+Dati!$H$16+Dati!$H$18+Dati!$W$15+Dati!$W$16+Dati!$W$18),(Dati!$H$15+Dati!$H$16+Dati!$H$18+Dati!$W$15+Dati!$W$16+Dati!$W$18))/Dati!$D$238)/(Dati!F14+Dati!F17+Dati!F18)</f>
        <v>0.5108187354029647</v>
      </c>
    </row>
    <row r="14" spans="1:6" ht="75" customHeight="1">
      <c r="A14" s="48" t="s">
        <v>669</v>
      </c>
      <c r="B14" s="49" t="s">
        <v>692</v>
      </c>
      <c r="C14" s="49" t="s">
        <v>741</v>
      </c>
      <c r="D14" s="88">
        <f>(IF(Dati!$D$238=3,(Dati!T15-Dati!T16+Dati!T18+Dati!U15-Dati!U16+Dati!U18+Dati!X15-Dati!X16+Dati!X18),(Dati!U15-Dati!U16+Dati!U18+Dati!X15-Dati!X16+Dati!X18))/Dati!$D$238)/(Dati!S14+Dati!S17+Dati!S18)</f>
        <v>0.38480246594345235</v>
      </c>
      <c r="E14" s="88"/>
      <c r="F14" s="88"/>
    </row>
    <row r="15" spans="1:6" s="92" customFormat="1" ht="18.75" customHeight="1">
      <c r="A15" s="106">
        <v>3</v>
      </c>
      <c r="B15" s="99" t="s">
        <v>693</v>
      </c>
      <c r="C15" s="99"/>
      <c r="D15" s="107"/>
      <c r="E15" s="107"/>
      <c r="F15" s="107"/>
    </row>
    <row r="16" spans="1:6" ht="87" customHeight="1">
      <c r="A16" s="48" t="s">
        <v>670</v>
      </c>
      <c r="B16" s="49" t="s">
        <v>694</v>
      </c>
      <c r="C16" s="49" t="s">
        <v>742</v>
      </c>
      <c r="D16" s="88">
        <f>(Dati!D34+Dati!D40-Dati!D11+Dati!D39)/(Dati!D33-Dati!D53-Dati!D11+Dati!D39)</f>
        <v>0.203567265998541</v>
      </c>
      <c r="E16" s="88">
        <f>(Dati!E34+Dati!E40-Dati!E11+Dati!E39)/(Dati!E33-Dati!E53-Dati!E11+Dati!E39)</f>
        <v>0.20433968988837672</v>
      </c>
      <c r="F16" s="88">
        <f>(Dati!F34+Dati!F40-Dati!F11+Dati!F39)/(Dati!F33-Dati!F53-Dati!F11+Dati!F39)</f>
        <v>0.20509267572486584</v>
      </c>
    </row>
    <row r="17" spans="1:6" ht="96" customHeight="1">
      <c r="A17" s="48" t="s">
        <v>671</v>
      </c>
      <c r="B17" s="49" t="s">
        <v>695</v>
      </c>
      <c r="C17" s="48"/>
      <c r="D17" s="88">
        <f>((Dati!D35+Dati!D36+Dati!D37+Dati!D38+Dati!D39-Dati!D11))/(Dati!D34+Dati!D40-Dati!D11+Dati!D39)</f>
        <v>0.15675860807432918</v>
      </c>
      <c r="E17" s="88">
        <f>((Dati!E35+Dati!E36+Dati!E37+Dati!E38+Dati!E39-Dati!E11))/(Dati!E34+Dati!E40-Dati!E11+Dati!E39)</f>
        <v>0.13093352942956965</v>
      </c>
      <c r="F17" s="88">
        <f>((Dati!F35+Dati!F36+Dati!F37+Dati!F38+Dati!F39-Dati!F11))/(Dati!F34+Dati!F40-Dati!F11+Dati!F39)</f>
        <v>0.1347604795131867</v>
      </c>
    </row>
    <row r="18" spans="1:6" ht="111.75" customHeight="1">
      <c r="A18" s="48" t="s">
        <v>672</v>
      </c>
      <c r="B18" s="85" t="s">
        <v>80</v>
      </c>
      <c r="C18" s="85" t="s">
        <v>79</v>
      </c>
      <c r="D18" s="88">
        <f>(Dati!D42+Dati!D43)/(Dati!D34+Dati!D40+Dati!D39-Dati!D11)</f>
        <v>0.003068320044927003</v>
      </c>
      <c r="E18" s="88">
        <f>(Dati!E42+Dati!E43)/(Dati!E34+Dati!E40+Dati!E39-Dati!E11)</f>
        <v>0.0031680273606829222</v>
      </c>
      <c r="F18" s="88">
        <f>(Dati!F42+Dati!F43)/(Dati!F34+Dati!F40+Dati!F39-Dati!F11)</f>
        <v>0.0015574850543857142</v>
      </c>
    </row>
    <row r="19" spans="1:6" ht="85.5" customHeight="1">
      <c r="A19" s="48" t="s">
        <v>673</v>
      </c>
      <c r="B19" s="49" t="s">
        <v>696</v>
      </c>
      <c r="C19" s="49" t="s">
        <v>743</v>
      </c>
      <c r="D19" s="89">
        <f>(Dati!D34+Dati!D40-Dati!D11+Dati!D39)/Dati!$P$71</f>
        <v>234.45987013945253</v>
      </c>
      <c r="E19" s="89">
        <f>(Dati!E34+Dati!E40-Dati!E11+Dati!E39)/Dati!$P$71</f>
        <v>227.08071533977719</v>
      </c>
      <c r="F19" s="89">
        <f>(Dati!F34+Dati!F40-Dati!F11+Dati!F39)/Dati!$P$71</f>
        <v>225.02682026119675</v>
      </c>
    </row>
    <row r="20" spans="1:6" s="92" customFormat="1" ht="18.75" customHeight="1">
      <c r="A20" s="106">
        <v>4</v>
      </c>
      <c r="B20" s="99" t="s">
        <v>697</v>
      </c>
      <c r="C20" s="99"/>
      <c r="D20" s="107"/>
      <c r="E20" s="107"/>
      <c r="F20" s="107"/>
    </row>
    <row r="21" spans="1:6" ht="69" customHeight="1">
      <c r="A21" s="48" t="s">
        <v>674</v>
      </c>
      <c r="B21" s="48" t="s">
        <v>698</v>
      </c>
      <c r="C21" s="49" t="s">
        <v>744</v>
      </c>
      <c r="D21" s="88">
        <f>(Dati!D44+Dati!D45+Dati!D46)/(Dati!D32)</f>
        <v>0.2065717142317252</v>
      </c>
      <c r="E21" s="88">
        <f>(Dati!E44+Dati!E45+Dati!E46)/(Dati!E32)</f>
        <v>0.21272384999257163</v>
      </c>
      <c r="F21" s="88">
        <f>(Dati!F44+Dati!F45+Dati!F46)/(Dati!F32)</f>
        <v>0.21000238966371293</v>
      </c>
    </row>
    <row r="22" spans="1:6" s="92" customFormat="1" ht="18.75" customHeight="1">
      <c r="A22" s="106">
        <v>5</v>
      </c>
      <c r="B22" s="99" t="s">
        <v>699</v>
      </c>
      <c r="C22" s="99"/>
      <c r="D22" s="107"/>
      <c r="E22" s="107"/>
      <c r="F22" s="107"/>
    </row>
    <row r="23" spans="1:6" ht="30" customHeight="1">
      <c r="A23" s="48" t="s">
        <v>675</v>
      </c>
      <c r="B23" s="85" t="s">
        <v>827</v>
      </c>
      <c r="C23" s="49" t="s">
        <v>745</v>
      </c>
      <c r="D23" s="88">
        <f>(Dati!D50)/(Dati!D14+Dati!D17+Dati!D18)</f>
        <v>0.009428262063672881</v>
      </c>
      <c r="E23" s="88">
        <f>(Dati!E50)/(Dati!E14+Dati!E17+Dati!E18)</f>
        <v>0.009223063704604389</v>
      </c>
      <c r="F23" s="88">
        <f>(Dati!F50)/(Dati!F14+Dati!F17+Dati!F18)</f>
        <v>0.008579517396045585</v>
      </c>
    </row>
    <row r="24" spans="1:6" ht="42" customHeight="1">
      <c r="A24" s="48" t="s">
        <v>676</v>
      </c>
      <c r="B24" s="85" t="s">
        <v>828</v>
      </c>
      <c r="C24" s="49" t="s">
        <v>746</v>
      </c>
      <c r="D24" s="88">
        <f>IF(Dati!D50&gt;0,(Dati!D51/Dati!D50),0)</f>
        <v>0</v>
      </c>
      <c r="E24" s="88">
        <f>IF(Dati!E50&gt;0,(Dati!E51/Dati!E50),0)</f>
        <v>0</v>
      </c>
      <c r="F24" s="88">
        <f>IF(Dati!F50&gt;0,(Dati!F51/Dati!F50),0)</f>
        <v>0</v>
      </c>
    </row>
    <row r="25" spans="1:6" ht="42.75" customHeight="1">
      <c r="A25" s="48" t="s">
        <v>677</v>
      </c>
      <c r="B25" s="49" t="s">
        <v>700</v>
      </c>
      <c r="C25" s="49" t="s">
        <v>747</v>
      </c>
      <c r="D25" s="88">
        <f>IF(Dati!D50&gt;0,(Dati!D52/Dati!D50),0)</f>
        <v>0.0003001351358449142</v>
      </c>
      <c r="E25" s="88">
        <f>IF(Dati!E50&gt;0,(Dati!E52/Dati!E50),0)</f>
        <v>0.0003200781810161823</v>
      </c>
      <c r="F25" s="88">
        <f>IF(Dati!F50&gt;0,(Dati!F52/Dati!F50),0)</f>
        <v>0.0003440871225841686</v>
      </c>
    </row>
    <row r="26" spans="1:6" s="92" customFormat="1" ht="18.75" customHeight="1">
      <c r="A26" s="106">
        <v>6</v>
      </c>
      <c r="B26" s="99" t="s">
        <v>701</v>
      </c>
      <c r="C26" s="108"/>
      <c r="D26" s="90"/>
      <c r="E26" s="90"/>
      <c r="F26" s="90"/>
    </row>
    <row r="27" spans="1:6" ht="41.25" customHeight="1">
      <c r="A27" s="48" t="s">
        <v>678</v>
      </c>
      <c r="B27" s="85" t="s">
        <v>829</v>
      </c>
      <c r="C27" s="49" t="s">
        <v>748</v>
      </c>
      <c r="D27" s="88">
        <f>(Dati!D56+Dati!D58)/(Dati!D32+Dati!D55)</f>
        <v>0.47944390079088917</v>
      </c>
      <c r="E27" s="88">
        <f>(Dati!E56+Dati!E58)/(Dati!E32+Dati!E55)</f>
        <v>0.4687609032420845</v>
      </c>
      <c r="F27" s="88">
        <f>(Dati!F56+Dati!F58)/(Dati!F32+Dati!F55)</f>
        <v>0.30487334946395955</v>
      </c>
    </row>
    <row r="28" spans="1:6" ht="55.5" customHeight="1">
      <c r="A28" s="48" t="s">
        <v>679</v>
      </c>
      <c r="B28" s="49" t="s">
        <v>702</v>
      </c>
      <c r="C28" s="49" t="s">
        <v>749</v>
      </c>
      <c r="D28" s="89">
        <f>Dati!D56/Dati!$P$71</f>
        <v>1153.470226518114</v>
      </c>
      <c r="E28" s="89">
        <f>Dati!E56/Dati!$P$71</f>
        <v>1072.2207732605327</v>
      </c>
      <c r="F28" s="89">
        <f>Dati!F56/Dati!$P$71</f>
        <v>531.1164576108611</v>
      </c>
    </row>
    <row r="29" spans="1:6" ht="56.25" customHeight="1">
      <c r="A29" s="48" t="s">
        <v>680</v>
      </c>
      <c r="B29" s="49" t="s">
        <v>703</v>
      </c>
      <c r="C29" s="49" t="s">
        <v>750</v>
      </c>
      <c r="D29" s="89">
        <f>(Dati!D58/Dati!$P$71)</f>
        <v>0</v>
      </c>
      <c r="E29" s="89">
        <f>(Dati!E58/Dati!$P$71)</f>
        <v>0</v>
      </c>
      <c r="F29" s="89">
        <f>(Dati!F58/Dati!$P$71)</f>
        <v>0</v>
      </c>
    </row>
    <row r="30" spans="1:6" ht="68.25" customHeight="1">
      <c r="A30" s="48" t="s">
        <v>681</v>
      </c>
      <c r="B30" s="49" t="s">
        <v>704</v>
      </c>
      <c r="C30" s="49" t="s">
        <v>751</v>
      </c>
      <c r="D30" s="89">
        <f>(Dati!D56+Dati!D58)/Dati!$P$71</f>
        <v>1153.470226518114</v>
      </c>
      <c r="E30" s="89">
        <f>(Dati!E56+Dati!E58)/Dati!$P$71</f>
        <v>1072.2207732605327</v>
      </c>
      <c r="F30" s="89">
        <f>(Dati!F56+Dati!F58)/Dati!$P$71</f>
        <v>531.1164576108611</v>
      </c>
    </row>
    <row r="31" spans="1:6" ht="53.25" customHeight="1">
      <c r="A31" s="48" t="s">
        <v>682</v>
      </c>
      <c r="B31" s="85" t="s">
        <v>830</v>
      </c>
      <c r="C31" s="49" t="s">
        <v>752</v>
      </c>
      <c r="D31" s="88">
        <f>IF((Dati!D56+Dati!D58-Dati!AB56-Dati!AB58)&gt;0,(Dati!D241)/(Dati!D56+Dati!D58-Dati!AB56-Dati!AB58),0)</f>
        <v>0</v>
      </c>
      <c r="E31" s="88">
        <f>((Dati!E14+Dati!E17+Dati!E18+Dati!E10)-Dati!E33)/(Dati!E56+Dati!E58-Dati!AC56-Dati!AC58)</f>
        <v>0.03570641863704107</v>
      </c>
      <c r="F31" s="88">
        <f>((Dati!F14+Dati!F17+Dati!F18+Dati!F10)-Dati!F33)/(Dati!F56+Dati!F58-Dati!AD56-Dati!AD58)</f>
        <v>0.0735985459796954</v>
      </c>
    </row>
    <row r="32" spans="1:6" ht="55.5" customHeight="1">
      <c r="A32" s="48" t="s">
        <v>683</v>
      </c>
      <c r="B32" s="85" t="s">
        <v>831</v>
      </c>
      <c r="C32" s="49" t="s">
        <v>753</v>
      </c>
      <c r="D32" s="88">
        <f>IF((Dati!D22-Dati!D65)&gt;0,((Dati!D22-Dati!D65)/(Dati!D56+Dati!D58-Dati!AB56-Dati!AB58)),0)</f>
        <v>0</v>
      </c>
      <c r="E32" s="88">
        <f>IF((Dati!E22-Dati!E65)&gt;0,((Dati!E22-Dati!E65)/(Dati!E56+Dati!E58-Dati!AC56-Dati!AC58)),0)</f>
        <v>0</v>
      </c>
      <c r="F32" s="88">
        <f>IF((Dati!F22-Dati!F65)&gt;0,((Dati!F22-Dati!F65)/(Dati!F56+Dati!F58-Dati!AD56-Dati!AD58)),0)</f>
        <v>0</v>
      </c>
    </row>
    <row r="33" spans="1:6" ht="94.5" customHeight="1">
      <c r="A33" s="48" t="s">
        <v>684</v>
      </c>
      <c r="B33" s="85" t="s">
        <v>705</v>
      </c>
      <c r="C33" s="49" t="s">
        <v>754</v>
      </c>
      <c r="D33" s="88">
        <f>(Dati!D23-Dati!D24-Dati!D25)/(Dati!D56+Dati!D58-Dati!AB56-Dati!AB58)</f>
        <v>0</v>
      </c>
      <c r="E33" s="88">
        <f>(Dati!E23-Dati!E24-Dati!E25)/(Dati!E56+Dati!E58-Dati!AC56-Dati!AC58)</f>
        <v>0</v>
      </c>
      <c r="F33" s="88">
        <f>(Dati!F23-Dati!F24-Dati!F25)/(Dati!F56+Dati!F58-Dati!AD56-Dati!AD58)</f>
        <v>0</v>
      </c>
    </row>
    <row r="34" spans="1:6" ht="18" customHeight="1">
      <c r="A34" s="109">
        <v>7</v>
      </c>
      <c r="B34" s="110" t="s">
        <v>706</v>
      </c>
      <c r="C34" s="111"/>
      <c r="D34" s="112"/>
      <c r="E34" s="112"/>
      <c r="F34" s="113"/>
    </row>
    <row r="35" spans="1:6" ht="74.25" customHeight="1">
      <c r="A35" s="48" t="s">
        <v>82</v>
      </c>
      <c r="B35" s="48" t="s">
        <v>707</v>
      </c>
      <c r="C35" s="49" t="s">
        <v>755</v>
      </c>
      <c r="D35" s="88">
        <f>(Dati!$Q$41+Dati!$Q$57)/(Dati!D41+Dati!$M$41+Dati!D57+Dati!$M$57)</f>
        <v>0.9968540284884586</v>
      </c>
      <c r="E35" s="88"/>
      <c r="F35" s="88"/>
    </row>
    <row r="36" spans="1:10" ht="173.25" customHeight="1">
      <c r="A36" s="48" t="s">
        <v>83</v>
      </c>
      <c r="B36" s="49" t="s">
        <v>708</v>
      </c>
      <c r="C36" s="49" t="s">
        <v>756</v>
      </c>
      <c r="D36" s="88">
        <f>(Dati!$Q$47+Dati!$Q$48+Dati!$Q$49+Dati!$Q$60+Dati!$Q$61+Dati!$Q$62+Dati!$Q$63+Dati!$Q$64)/(Dati!D47+Dati!D48+Dati!D49+Dati!D60+Dati!D61+Dati!D62+Dati!D63+Dati!D64+Dati!$M$47+Dati!$M$48+Dati!$M$49+Dati!$M$60+Dati!$M$61+Dati!$M$62+Dati!$M$63+Dati!$M$64)</f>
        <v>1</v>
      </c>
      <c r="E36" s="88"/>
      <c r="F36" s="88"/>
      <c r="I36" s="114"/>
      <c r="J36" s="114"/>
    </row>
    <row r="37" spans="1:6" s="92" customFormat="1" ht="18.75" customHeight="1">
      <c r="A37" s="99">
        <v>8</v>
      </c>
      <c r="B37" s="115" t="s">
        <v>709</v>
      </c>
      <c r="C37" s="116"/>
      <c r="D37" s="112"/>
      <c r="E37" s="112"/>
      <c r="F37" s="113"/>
    </row>
    <row r="38" spans="1:6" ht="30" customHeight="1">
      <c r="A38" s="48" t="s">
        <v>832</v>
      </c>
      <c r="B38" s="48" t="s">
        <v>710</v>
      </c>
      <c r="C38" s="85" t="s">
        <v>154</v>
      </c>
      <c r="D38" s="88">
        <f>IF(Dati!$R$69&gt;0,IF(Dati!$D$238=3,(Dati!D66/Dati!$R$69),""),"")</f>
        <v>0.059723601519495725</v>
      </c>
      <c r="E38" s="88">
        <f>IF(Dati!$R$69&gt;0,IF(Dati!$D$238=3,(Dati!E66/Dati!$R$69),""),"")</f>
        <v>0.06268265305792427</v>
      </c>
      <c r="F38" s="88">
        <f>IF(Dati!$R$69&gt;0,IF(Dati!$D$238=3,(Dati!F66/Dati!$R$69),""),"")</f>
        <v>0.06578994809554675</v>
      </c>
    </row>
    <row r="39" spans="1:6" ht="135.75" customHeight="1">
      <c r="A39" s="48" t="s">
        <v>833</v>
      </c>
      <c r="B39" s="48" t="s">
        <v>711</v>
      </c>
      <c r="C39" s="49" t="s">
        <v>757</v>
      </c>
      <c r="D39" s="88">
        <f>(Dati!D50-Dati!D52-Dati!D51+Dati!D66-(Dati!D19+Dati!D20+Dati!D21))/(Dati!D14+Dati!D17+Dati!D18)</f>
        <v>0.021282041573677624</v>
      </c>
      <c r="E39" s="88">
        <f>(Dati!E50-Dati!E52-Dati!E51+Dati!E66-(Dati!E19+Dati!E20+Dati!E21))/(Dati!E14+Dati!E17+Dati!E18)</f>
        <v>0.022202203582727773</v>
      </c>
      <c r="F39" s="88">
        <f>(Dati!F50-Dati!F52-Dati!F51+Dati!F66-(Dati!F19+Dati!F20+Dati!F21))/(Dati!F14+Dati!F17+Dati!F18)</f>
        <v>0.022202203582727773</v>
      </c>
    </row>
    <row r="40" spans="1:6" ht="61.5" customHeight="1">
      <c r="A40" s="48" t="s">
        <v>834</v>
      </c>
      <c r="B40" s="48" t="s">
        <v>712</v>
      </c>
      <c r="C40" s="49" t="s">
        <v>758</v>
      </c>
      <c r="D40" s="89">
        <f>IF(Dati!$D$238=3,(Dati!$R$69/Dati!$P$71),"")</f>
        <v>258.8216487124622</v>
      </c>
      <c r="E40" s="89">
        <f>IF(Dati!$D$238=3,(Dati!$S$69/Dati!$P$71),"")</f>
        <v>251.44464804840257</v>
      </c>
      <c r="F40" s="89">
        <f>IF(Dati!$D$238=3,(Dati!$T$69/Dati!$P$71),"")</f>
        <v>236.25095292555153</v>
      </c>
    </row>
    <row r="41" spans="1:6" s="92" customFormat="1" ht="18.75" customHeight="1">
      <c r="A41" s="99">
        <v>9</v>
      </c>
      <c r="B41" s="115" t="s">
        <v>713</v>
      </c>
      <c r="C41" s="116"/>
      <c r="D41" s="112"/>
      <c r="E41" s="112"/>
      <c r="F41" s="113"/>
    </row>
    <row r="42" spans="1:6" ht="36.75" customHeight="1">
      <c r="A42" s="48" t="s">
        <v>835</v>
      </c>
      <c r="B42" s="49" t="s">
        <v>714</v>
      </c>
      <c r="C42" s="49" t="s">
        <v>759</v>
      </c>
      <c r="D42" s="88">
        <f>IF(Dati!$D$9&gt;0,(Dati!$D$5/Dati!$D$9),0)</f>
        <v>-0.28524869432573235</v>
      </c>
      <c r="E42" s="88"/>
      <c r="F42" s="88"/>
    </row>
    <row r="43" spans="1:6" ht="31.5" customHeight="1">
      <c r="A43" s="48" t="s">
        <v>836</v>
      </c>
      <c r="B43" s="49" t="s">
        <v>715</v>
      </c>
      <c r="C43" s="49" t="s">
        <v>760</v>
      </c>
      <c r="D43" s="88">
        <f>IF(Dati!$D$9&gt;0,(Dati!$D$6/Dati!$D$9),0)</f>
        <v>0</v>
      </c>
      <c r="E43" s="88"/>
      <c r="F43" s="88"/>
    </row>
    <row r="44" spans="1:6" ht="37.5" customHeight="1">
      <c r="A44" s="48" t="s">
        <v>837</v>
      </c>
      <c r="B44" s="48" t="s">
        <v>716</v>
      </c>
      <c r="C44" s="49" t="s">
        <v>761</v>
      </c>
      <c r="D44" s="88">
        <f>IF(Dati!$D$9&gt;0,(Dati!$D$7/Dati!$D$9),0)</f>
        <v>0.7909419829486243</v>
      </c>
      <c r="E44" s="88"/>
      <c r="F44" s="88"/>
    </row>
    <row r="45" spans="1:6" ht="33.75" customHeight="1">
      <c r="A45" s="48" t="s">
        <v>838</v>
      </c>
      <c r="B45" s="48" t="s">
        <v>717</v>
      </c>
      <c r="C45" s="49" t="s">
        <v>762</v>
      </c>
      <c r="D45" s="88">
        <f>IF(Dati!$D$9&gt;0,(Dati!$D$8/Dati!$D$9),0)</f>
        <v>0.494306711377108</v>
      </c>
      <c r="E45" s="88"/>
      <c r="F45" s="88"/>
    </row>
    <row r="46" spans="1:6" s="92" customFormat="1" ht="18.75" customHeight="1">
      <c r="A46" s="99">
        <v>10</v>
      </c>
      <c r="B46" s="115" t="s">
        <v>718</v>
      </c>
      <c r="C46" s="116"/>
      <c r="D46" s="112"/>
      <c r="E46" s="112"/>
      <c r="F46" s="113"/>
    </row>
    <row r="47" spans="1:6" ht="59.25" customHeight="1">
      <c r="A47" s="48" t="s">
        <v>839</v>
      </c>
      <c r="B47" s="49" t="s">
        <v>719</v>
      </c>
      <c r="C47" s="85" t="s">
        <v>155</v>
      </c>
      <c r="D47" s="88">
        <f>IF(Dati!$D$70&lt;0,(Dati!D31/Dati!$D$70),"")</f>
      </c>
      <c r="E47" s="88">
        <f>IF(Dati!$D$70&lt;0,(Dati!E31/Dati!$D$70),"")</f>
      </c>
      <c r="F47" s="88">
        <f>IF(Dati!$D$70&lt;0,(Dati!F31/Dati!$D$70),"")</f>
      </c>
    </row>
    <row r="48" spans="1:6" ht="60" customHeight="1">
      <c r="A48" s="48" t="s">
        <v>840</v>
      </c>
      <c r="B48" s="48" t="s">
        <v>720</v>
      </c>
      <c r="C48" s="85" t="s">
        <v>156</v>
      </c>
      <c r="D48" s="88">
        <f>IF(Dati!$D$238=3,(IF(Dati!D70&lt;0,(Dati!$D$70/Dati!U72),"")),"")</f>
      </c>
      <c r="E48" s="88"/>
      <c r="F48" s="88"/>
    </row>
    <row r="49" spans="1:6" ht="47.25" customHeight="1">
      <c r="A49" s="86" t="s">
        <v>841</v>
      </c>
      <c r="B49" s="86" t="s">
        <v>721</v>
      </c>
      <c r="C49" s="87" t="s">
        <v>157</v>
      </c>
      <c r="D49" s="91">
        <f>Dati!D31/(Dati!D14+Dati!D17+Dati!D18)</f>
        <v>0</v>
      </c>
      <c r="E49" s="91">
        <f>Dati!E31/(Dati!E14+Dati!E17+Dati!E18)</f>
        <v>0</v>
      </c>
      <c r="F49" s="91">
        <f>Dati!F31/(Dati!F14+Dati!F17+Dati!F18)</f>
        <v>0</v>
      </c>
    </row>
    <row r="50" spans="1:6" s="92" customFormat="1" ht="18.75" customHeight="1">
      <c r="A50" s="99">
        <v>11</v>
      </c>
      <c r="B50" s="115" t="s">
        <v>722</v>
      </c>
      <c r="C50" s="116"/>
      <c r="D50" s="112"/>
      <c r="E50" s="112"/>
      <c r="F50" s="113"/>
    </row>
    <row r="51" spans="1:6" ht="126.75" customHeight="1">
      <c r="A51" s="48" t="s">
        <v>844</v>
      </c>
      <c r="B51" s="48" t="s">
        <v>723</v>
      </c>
      <c r="C51" s="49" t="s">
        <v>763</v>
      </c>
      <c r="D51" s="88">
        <f>IF((Dati!D10+Dati!D12)&gt;0,((Dati!D10+Dati!D12-Dati!D13)/(Dati!D10+Dati!D12)),0)</f>
        <v>1</v>
      </c>
      <c r="E51" s="88">
        <f>IF((Dati!E10+Dati!E12)&gt;0,((Dati!E10+Dati!E12-Dati!E13)/(Dati!E10+Dati!E12)),0)</f>
        <v>0</v>
      </c>
      <c r="F51" s="88">
        <f>IF((Dati!F10+Dati!F12)&gt;0,((Dati!F10+Dati!F12-Dati!F13)/(Dati!F10+Dati!F12)),0)</f>
        <v>0</v>
      </c>
    </row>
    <row r="52" spans="1:6" s="92" customFormat="1" ht="18.75" customHeight="1">
      <c r="A52" s="99">
        <v>12</v>
      </c>
      <c r="B52" s="115" t="s">
        <v>724</v>
      </c>
      <c r="C52" s="116"/>
      <c r="D52" s="112"/>
      <c r="E52" s="112"/>
      <c r="F52" s="113"/>
    </row>
    <row r="53" spans="1:6" ht="85.5" customHeight="1">
      <c r="A53" s="48" t="s">
        <v>842</v>
      </c>
      <c r="B53" s="48" t="s">
        <v>725</v>
      </c>
      <c r="C53" s="85" t="s">
        <v>172</v>
      </c>
      <c r="D53" s="88">
        <f>(Dati!D26-Dati!D27)/(Dati!D14+Dati!D17+Dati!D18)</f>
        <v>0.18401881907348208</v>
      </c>
      <c r="E53" s="88">
        <f>(Dati!E26-Dati!E27)/(Dati!E14+Dati!E17+Dati!E18)</f>
        <v>0.1919751575514184</v>
      </c>
      <c r="F53" s="88">
        <f>(Dati!F26-Dati!F27)/(Dati!F14+Dati!F17+Dati!F18)</f>
        <v>0.1919751575514184</v>
      </c>
    </row>
    <row r="54" spans="1:6" ht="74.25" customHeight="1">
      <c r="A54" s="48" t="s">
        <v>843</v>
      </c>
      <c r="B54" s="48" t="s">
        <v>726</v>
      </c>
      <c r="C54" s="49" t="s">
        <v>764</v>
      </c>
      <c r="D54" s="88">
        <f>(Dati!D67-Dati!D68)/Dati!D33</f>
        <v>0.18947153131634872</v>
      </c>
      <c r="E54" s="88">
        <f>(Dati!E67-Dati!E68)/Dati!E33</f>
        <v>0.19574859817476958</v>
      </c>
      <c r="F54" s="88">
        <f>(Dati!F67-Dati!F68)/Dati!F33</f>
        <v>0.19641495231734055</v>
      </c>
    </row>
    <row r="56" spans="1:6" ht="38.25" customHeight="1">
      <c r="A56" s="143" t="s">
        <v>727</v>
      </c>
      <c r="B56" s="143"/>
      <c r="C56" s="143"/>
      <c r="D56" s="143"/>
      <c r="E56" s="143"/>
      <c r="F56" s="143"/>
    </row>
    <row r="57" spans="1:6" ht="39.75" customHeight="1">
      <c r="A57" s="143" t="s">
        <v>728</v>
      </c>
      <c r="B57" s="143"/>
      <c r="C57" s="143"/>
      <c r="D57" s="143"/>
      <c r="E57" s="143"/>
      <c r="F57" s="143"/>
    </row>
    <row r="58" spans="1:6" ht="30.75" customHeight="1">
      <c r="A58" s="127" t="s">
        <v>729</v>
      </c>
      <c r="B58" s="127"/>
      <c r="C58" s="127"/>
      <c r="D58" s="127"/>
      <c r="E58" s="127"/>
      <c r="F58" s="127"/>
    </row>
    <row r="59" spans="1:6" ht="51" customHeight="1">
      <c r="A59" s="127" t="s">
        <v>730</v>
      </c>
      <c r="B59" s="127"/>
      <c r="C59" s="127"/>
      <c r="D59" s="127"/>
      <c r="E59" s="127"/>
      <c r="F59" s="127"/>
    </row>
    <row r="60" spans="1:6" ht="12.75" customHeight="1">
      <c r="A60" s="127" t="s">
        <v>731</v>
      </c>
      <c r="B60" s="127"/>
      <c r="C60" s="127"/>
      <c r="D60" s="127"/>
      <c r="E60" s="127"/>
      <c r="F60" s="127"/>
    </row>
    <row r="61" spans="1:6" ht="27" customHeight="1">
      <c r="A61" s="127" t="s">
        <v>732</v>
      </c>
      <c r="B61" s="127"/>
      <c r="C61" s="127"/>
      <c r="D61" s="127"/>
      <c r="E61" s="127"/>
      <c r="F61" s="127"/>
    </row>
    <row r="62" spans="1:6" ht="27" customHeight="1">
      <c r="A62" s="127" t="s">
        <v>733</v>
      </c>
      <c r="B62" s="127"/>
      <c r="C62" s="127"/>
      <c r="D62" s="127"/>
      <c r="E62" s="127"/>
      <c r="F62" s="127"/>
    </row>
    <row r="63" spans="1:6" ht="27" customHeight="1">
      <c r="A63" s="127" t="s">
        <v>734</v>
      </c>
      <c r="B63" s="127"/>
      <c r="C63" s="127"/>
      <c r="D63" s="127"/>
      <c r="E63" s="127"/>
      <c r="F63" s="127"/>
    </row>
    <row r="64" spans="1:6" ht="26.25" customHeight="1">
      <c r="A64" s="127" t="s">
        <v>735</v>
      </c>
      <c r="B64" s="127"/>
      <c r="C64" s="127"/>
      <c r="D64" s="127"/>
      <c r="E64" s="127"/>
      <c r="F64" s="127"/>
    </row>
    <row r="65" spans="1:6" ht="27" customHeight="1">
      <c r="A65" s="127" t="s">
        <v>736</v>
      </c>
      <c r="B65" s="127"/>
      <c r="C65" s="127"/>
      <c r="D65" s="127"/>
      <c r="E65" s="127"/>
      <c r="F65" s="127"/>
    </row>
  </sheetData>
  <sheetProtection/>
  <mergeCells count="17">
    <mergeCell ref="A65:F65"/>
    <mergeCell ref="A6:B7"/>
    <mergeCell ref="C6:C7"/>
    <mergeCell ref="D6:F6"/>
    <mergeCell ref="A56:F56"/>
    <mergeCell ref="A57:F57"/>
    <mergeCell ref="A58:F58"/>
    <mergeCell ref="A59:F59"/>
    <mergeCell ref="A60:F60"/>
    <mergeCell ref="A61:F61"/>
    <mergeCell ref="A64:F64"/>
    <mergeCell ref="A4:C4"/>
    <mergeCell ref="D4:E4"/>
    <mergeCell ref="A3:F3"/>
    <mergeCell ref="A5:F5"/>
    <mergeCell ref="A62:F62"/>
    <mergeCell ref="A63:F63"/>
  </mergeCells>
  <printOptions horizontalCentered="1"/>
  <pageMargins left="0.2362204724409449" right="0.2362204724409449" top="0.4724409448818898" bottom="0.4724409448818898" header="0.31496062992125984" footer="0.31496062992125984"/>
  <pageSetup horizontalDpi="600" verticalDpi="600" orientation="landscape" paperSize="8"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40">
      <selection activeCell="A1" sqref="A1:H57"/>
    </sheetView>
  </sheetViews>
  <sheetFormatPr defaultColWidth="9.140625" defaultRowHeight="15"/>
  <cols>
    <col min="1" max="1" width="12.421875" style="34" customWidth="1"/>
    <col min="2" max="2" width="62.140625" style="46" customWidth="1"/>
    <col min="3" max="6" width="12.57421875" style="47" customWidth="1"/>
    <col min="7" max="7" width="14.28125" style="47" customWidth="1"/>
    <col min="8" max="8" width="12.57421875" style="47" customWidth="1"/>
  </cols>
  <sheetData>
    <row r="1" spans="1:6" s="34" customFormat="1" ht="12.75" customHeight="1">
      <c r="A1" s="32" t="str">
        <f>CONCATENATE("Denominazione Ente: ",Dati!D231," - ",Dati!D232)</f>
        <v>Denominazione Ente: COMUNE DI IGLESIAS - PROVINCIA SUD SARDEGNA</v>
      </c>
      <c r="B1" s="33"/>
      <c r="C1" s="33"/>
      <c r="D1" s="33"/>
      <c r="E1" s="33"/>
      <c r="F1" s="33"/>
    </row>
    <row r="2" spans="1:7" s="34" customFormat="1" ht="12.75" customHeight="1">
      <c r="A2" s="32"/>
      <c r="B2" s="35"/>
      <c r="D2" s="36"/>
      <c r="F2" s="38"/>
      <c r="G2" s="37" t="s">
        <v>846</v>
      </c>
    </row>
    <row r="3" spans="1:8" s="34" customFormat="1" ht="18" customHeight="1">
      <c r="A3" s="132" t="s">
        <v>663</v>
      </c>
      <c r="B3" s="132"/>
      <c r="C3" s="132"/>
      <c r="D3" s="132"/>
      <c r="E3" s="132"/>
      <c r="F3" s="132"/>
      <c r="G3" s="144"/>
      <c r="H3" s="144"/>
    </row>
    <row r="4" spans="1:8" s="34" customFormat="1" ht="15" customHeight="1">
      <c r="A4" s="145" t="str">
        <f>CONCATENATE("                                                Bilancio di Previsione esercizi ",Dati!D233,",",Dati!D234," e ",Dati!D235)</f>
        <v>                                                Bilancio di Previsione esercizi 2018,2019 e 2020</v>
      </c>
      <c r="B4" s="146"/>
      <c r="C4" s="146"/>
      <c r="D4" s="147"/>
      <c r="E4" s="147"/>
      <c r="F4" s="156" t="str">
        <f>CONCATENATE("approvato il ")</f>
        <v>approvato il </v>
      </c>
      <c r="G4" s="157"/>
      <c r="H4" s="51">
        <f>IF(Dati!$D$236&lt;&gt;"",Dati!$D$236,"")</f>
      </c>
    </row>
    <row r="5" spans="1:8" s="34" customFormat="1" ht="15" customHeight="1">
      <c r="A5" s="148" t="s">
        <v>847</v>
      </c>
      <c r="B5" s="148"/>
      <c r="C5" s="148"/>
      <c r="D5" s="148"/>
      <c r="E5" s="148"/>
      <c r="F5" s="148"/>
      <c r="G5" s="149"/>
      <c r="H5" s="149"/>
    </row>
    <row r="6" spans="1:8" ht="15" customHeight="1">
      <c r="A6" s="152" t="s">
        <v>766</v>
      </c>
      <c r="B6" s="153" t="s">
        <v>767</v>
      </c>
      <c r="C6" s="154" t="s">
        <v>768</v>
      </c>
      <c r="D6" s="154"/>
      <c r="E6" s="154"/>
      <c r="F6" s="154"/>
      <c r="G6" s="154" t="s">
        <v>769</v>
      </c>
      <c r="H6" s="154"/>
    </row>
    <row r="7" spans="1:8" ht="90" customHeight="1">
      <c r="A7" s="152" t="s">
        <v>766</v>
      </c>
      <c r="B7" s="153" t="s">
        <v>767</v>
      </c>
      <c r="C7" s="45" t="s">
        <v>770</v>
      </c>
      <c r="D7" s="45" t="s">
        <v>771</v>
      </c>
      <c r="E7" s="45" t="s">
        <v>772</v>
      </c>
      <c r="F7" s="84" t="s">
        <v>773</v>
      </c>
      <c r="G7" s="45" t="s">
        <v>774</v>
      </c>
      <c r="H7" s="84" t="s">
        <v>775</v>
      </c>
    </row>
    <row r="8" spans="1:8" s="55" customFormat="1" ht="27" customHeight="1">
      <c r="A8" s="53" t="s">
        <v>16</v>
      </c>
      <c r="B8" s="54" t="s">
        <v>17</v>
      </c>
      <c r="C8" s="52"/>
      <c r="D8" s="52"/>
      <c r="E8" s="52"/>
      <c r="F8" s="52"/>
      <c r="G8" s="52"/>
      <c r="H8" s="52"/>
    </row>
    <row r="9" spans="1:8" s="55" customFormat="1" ht="27" customHeight="1">
      <c r="A9" s="56" t="s">
        <v>18</v>
      </c>
      <c r="B9" s="57" t="s">
        <v>848</v>
      </c>
      <c r="C9" s="52">
        <f>IF(Dati!$D$117&gt;0,(Dati!D79/Dati!$D$117),0)</f>
        <v>0.1712895176550837</v>
      </c>
      <c r="D9" s="52">
        <f>IF(Dati!$E$117&gt;0,(Dati!E79/Dati!$E$117),0)</f>
        <v>0.15511500083224297</v>
      </c>
      <c r="E9" s="52">
        <f>IF(Dati!$F$117&gt;0,(Dati!F79/Dati!$F$117),0)</f>
        <v>0.1971021324124154</v>
      </c>
      <c r="F9" s="52">
        <f>IF(Dati!$D$238=3,(Dati!I79+Dati!J79+Dati!Y79)/(Dati!$D$238),(Dati!J79+Dati!Y79)/Dati!$D$238)/IF(Dati!$D$238=3,(Dati!$I$117+Dati!$J$117+Dati!$Y$117)/(Dati!$D$238),(Dati!$J$117+Dati!$Y$117)/Dati!$D$238)</f>
        <v>0.258402337270466</v>
      </c>
      <c r="G9" s="52">
        <f>IF((Dati!D79+Dati!H79)&gt;0,(Dati!G79/(Dati!D79+Dati!H79)),0)</f>
        <v>0.859551036971953</v>
      </c>
      <c r="H9" s="81">
        <f>IF(((IF(Dati!$D$238=3,(Dati!I79+Dati!U79+Dati!J79+Dati!V79+Dati!P79),(Dati!J79+Dati!V79+Dati!P79))/Dati!$D$238)&gt;0),(IF(Dati!$D$238=3,(Dati!L79+Dati!M79+Dati!T79),(Dati!M79+Dati!T79))/Dati!$D$238)/(IF(Dati!$D$238=3,(Dati!I79+Dati!U79+Dati!J79+Dati!V79+Dati!P79),(Dati!J79+Dati!V79+Dati!P79))/Dati!$D$238),0)</f>
        <v>0.5701317181228032</v>
      </c>
    </row>
    <row r="10" spans="1:8" s="55" customFormat="1" ht="27" customHeight="1">
      <c r="A10" s="56" t="s">
        <v>19</v>
      </c>
      <c r="B10" s="57" t="s">
        <v>849</v>
      </c>
      <c r="C10" s="52">
        <f>IF(Dati!$D$117&gt;0,(Dati!D80/Dati!$D$117),0)</f>
        <v>0</v>
      </c>
      <c r="D10" s="52">
        <f>IF(Dati!$E$117&gt;0,(Dati!E80/Dati!$E$117),0)</f>
        <v>0</v>
      </c>
      <c r="E10" s="52">
        <f>IF(Dati!$F$117&gt;0,(Dati!F80/Dati!$F$117),0)</f>
        <v>0</v>
      </c>
      <c r="F10" s="52">
        <f>IF(Dati!$D$238=3,(Dati!I80+Dati!J80+Dati!Y80)/(Dati!$D$238),(Dati!J80+Dati!Y80)/Dati!$D$238)/IF(Dati!$D$238=3,(Dati!$I$117+Dati!$J$117+Dati!$Y$117)/(Dati!$D$238),(Dati!$J$117+Dati!$Y$117)/Dati!$D$238)</f>
        <v>0</v>
      </c>
      <c r="G10" s="52">
        <f>IF((Dati!D80+Dati!H80)&gt;0,(Dati!G80/(Dati!D80+Dati!H80)),0)</f>
        <v>0</v>
      </c>
      <c r="H10" s="81">
        <f>IF(((IF(Dati!$D$238=3,(Dati!I80+Dati!U80+Dati!J80+Dati!V80+Dati!P80),(Dati!J80+Dati!V80+Dati!P80))/Dati!$D$238)&gt;0),(IF(Dati!$D$238=3,(Dati!L80+Dati!M80+Dati!T80),(Dati!M80+Dati!T80))/Dati!$D$238)/(IF(Dati!$D$238=3,(Dati!I80+Dati!U80+Dati!J80+Dati!V80+Dati!P80),(Dati!J80+Dati!V80+Dati!P80))/Dati!$D$238),0)</f>
        <v>0</v>
      </c>
    </row>
    <row r="11" spans="1:8" s="55" customFormat="1" ht="27" customHeight="1">
      <c r="A11" s="56" t="s">
        <v>20</v>
      </c>
      <c r="B11" s="57" t="s">
        <v>850</v>
      </c>
      <c r="C11" s="52">
        <f>IF(Dati!$D$117&gt;0,(Dati!D81/Dati!$D$117),0)</f>
        <v>0.0262226742585447</v>
      </c>
      <c r="D11" s="52">
        <f>IF(Dati!$E$117&gt;0,(Dati!E81/Dati!$E$117),0)</f>
        <v>0.02663698794716322</v>
      </c>
      <c r="E11" s="52">
        <f>IF(Dati!$F$117&gt;0,(Dati!F81/Dati!$F$117),0)</f>
        <v>0.03384719142094956</v>
      </c>
      <c r="F11" s="52">
        <f>IF(Dati!$D$238=3,(Dati!I81+Dati!J81+Dati!Y81)/(Dati!$D$238),(Dati!J81+Dati!Y81)/Dati!$D$238)/IF(Dati!$D$238=3,(Dati!$I$117+Dati!$J$117+Dati!$Y$117)/(Dati!$D$238),(Dati!$J$117+Dati!$Y$117)/Dati!$D$238)</f>
        <v>0.041258691871506985</v>
      </c>
      <c r="G11" s="52">
        <f>IF((Dati!D81+Dati!H81)&gt;0,(Dati!G81/(Dati!D81+Dati!H81)),0)</f>
        <v>1</v>
      </c>
      <c r="H11" s="81">
        <f>IF(((IF(Dati!$D$238=3,(Dati!I81+Dati!U81+Dati!J81+Dati!V81+Dati!P81),(Dati!J81+Dati!V81+Dati!P81))/Dati!$D$238)&gt;0),(IF(Dati!$D$238=3,(Dati!L81+Dati!M81+Dati!T81),(Dati!M81+Dati!T81))/Dati!$D$238)/(IF(Dati!$D$238=3,(Dati!I81+Dati!U81+Dati!J81+Dati!V81+Dati!P81),(Dati!J81+Dati!V81+Dati!P81))/Dati!$D$238),0)</f>
        <v>0.9392655623232139</v>
      </c>
    </row>
    <row r="12" spans="1:8" s="55" customFormat="1" ht="27" customHeight="1">
      <c r="A12" s="56" t="s">
        <v>21</v>
      </c>
      <c r="B12" s="57" t="s">
        <v>851</v>
      </c>
      <c r="C12" s="52">
        <f>IF(Dati!$D$117&gt;0,(Dati!D82/Dati!$D$117),0)</f>
        <v>0</v>
      </c>
      <c r="D12" s="52">
        <f>IF(Dati!$E$117&gt;0,(Dati!E82/Dati!$E$117),0)</f>
        <v>0</v>
      </c>
      <c r="E12" s="52">
        <f>IF(Dati!$F$117&gt;0,(Dati!F82/Dati!$F$117),0)</f>
        <v>0</v>
      </c>
      <c r="F12" s="52">
        <f>IF(Dati!$D$238=3,(Dati!I82+Dati!J82+Dati!Y82)/(Dati!$D$238),(Dati!J82+Dati!Y82)/Dati!$D$238)/IF(Dati!$D$238=3,(Dati!$I$117+Dati!$J$117+Dati!$Y$117)/(Dati!$D$238),(Dati!$J$117+Dati!$Y$117)/Dati!$D$238)</f>
        <v>0</v>
      </c>
      <c r="G12" s="52">
        <f>IF((Dati!D82+Dati!H82)&gt;0,(Dati!G82/(Dati!D82+Dati!H82)),0)</f>
        <v>0</v>
      </c>
      <c r="H12" s="81">
        <f>IF(((IF(Dati!$D$238=3,(Dati!I82+Dati!U82+Dati!J82+Dati!V82+Dati!P82),(Dati!J82+Dati!V82+Dati!P82))/Dati!$D$238)&gt;0),(IF(Dati!$D$238=3,(Dati!L82+Dati!M82+Dati!T82),(Dati!M82+Dati!T82))/Dati!$D$238)/(IF(Dati!$D$238=3,(Dati!I82+Dati!U82+Dati!J82+Dati!V82+Dati!P82),(Dati!J82+Dati!V82+Dati!P82))/Dati!$D$238),0)</f>
        <v>0</v>
      </c>
    </row>
    <row r="13" spans="1:8" s="55" customFormat="1" ht="27" customHeight="1">
      <c r="A13" s="58" t="s">
        <v>22</v>
      </c>
      <c r="B13" s="59" t="s">
        <v>23</v>
      </c>
      <c r="C13" s="52">
        <f>IF(Dati!$D$117&gt;0,(Dati!D83/Dati!$D$117),0)</f>
        <v>0.1975121919136284</v>
      </c>
      <c r="D13" s="52">
        <f>IF(Dati!$E$117&gt;0,(Dati!E83/Dati!$E$117),0)</f>
        <v>0.18175198877940618</v>
      </c>
      <c r="E13" s="52">
        <f>IF(Dati!$F$117&gt;0,(Dati!F83/Dati!$F$117),0)</f>
        <v>0.23094932383336492</v>
      </c>
      <c r="F13" s="52">
        <f>IF(Dati!$D$238=3,(Dati!I83+Dati!J83+Dati!Y83)/(Dati!$D$238),(Dati!J83+Dati!Y83)/Dati!$D$238)/IF(Dati!$D$238=3,(Dati!$I$117+Dati!$J$117+Dati!$Y$117)/(Dati!$D$238),(Dati!$J$117+Dati!$Y$117)/Dati!$D$238)</f>
        <v>0.29966102914197296</v>
      </c>
      <c r="G13" s="52">
        <f>IF((Dati!D83+Dati!H83)&gt;0,(Dati!G83/(Dati!D83+Dati!H83)),0)</f>
        <v>0.8692502710973345</v>
      </c>
      <c r="H13" s="81">
        <f>IF(((IF(Dati!$D$238=3,(Dati!I83+Dati!U83+Dati!J83+Dati!V83+Dati!P83),(Dati!J83+Dati!V83+Dati!P83))/Dati!$D$238)&gt;0),(IF(Dati!$D$238=3,(Dati!L83+Dati!M83+Dati!T83),(Dati!M83+Dati!T83))/Dati!$D$238)/(IF(Dati!$D$238=3,(Dati!I83+Dati!U83+Dati!J83+Dati!V83+Dati!P83),(Dati!J83+Dati!V83+Dati!P83))/Dati!$D$238),0)</f>
        <v>0.5995209849109486</v>
      </c>
    </row>
    <row r="14" spans="1:8" s="55" customFormat="1" ht="27" customHeight="1">
      <c r="A14" s="53" t="s">
        <v>24</v>
      </c>
      <c r="B14" s="59" t="s">
        <v>25</v>
      </c>
      <c r="C14" s="52"/>
      <c r="D14" s="52"/>
      <c r="E14" s="52"/>
      <c r="F14" s="52"/>
      <c r="G14" s="52"/>
      <c r="H14" s="81"/>
    </row>
    <row r="15" spans="1:8" s="55" customFormat="1" ht="27" customHeight="1">
      <c r="A15" s="56" t="s">
        <v>26</v>
      </c>
      <c r="B15" s="57" t="s">
        <v>852</v>
      </c>
      <c r="C15" s="52">
        <f>IF(Dati!$D$117&gt;0,(Dati!D84/Dati!$D$117),0)</f>
        <v>0.2015635582936657</v>
      </c>
      <c r="D15" s="52">
        <f>IF(Dati!$E$117&gt;0,(Dati!E84/Dati!$E$117),0)</f>
        <v>0.20158782728558056</v>
      </c>
      <c r="E15" s="52">
        <f>IF(Dati!$F$117&gt;0,(Dati!F84/Dati!$F$117),0)</f>
        <v>0.256154404236798</v>
      </c>
      <c r="F15" s="52">
        <f>IF(Dati!$D$238=3,(Dati!I84+Dati!J84+Dati!Y84)/(Dati!$D$238),(Dati!J84+Dati!Y84)/Dati!$D$238)/IF(Dati!$D$238=3,(Dati!$I$117+Dati!$J$117+Dati!$Y$117)/(Dati!$D$238),(Dati!$J$117+Dati!$Y$117)/Dati!$D$238)</f>
        <v>0.33192580659119253</v>
      </c>
      <c r="G15" s="52">
        <f>IF((Dati!D84+Dati!H84)&gt;0,(Dati!G84/(Dati!D84+Dati!H84)),0)</f>
        <v>0.9935556594560828</v>
      </c>
      <c r="H15" s="81">
        <f>IF(((IF(Dati!$D$238=3,(Dati!I84+Dati!U84+Dati!J84+Dati!V84+Dati!P84),(Dati!J84+Dati!V84+Dati!P84))/Dati!$D$238)&gt;0),(IF(Dati!$D$238=3,(Dati!L84+Dati!M84+Dati!T84),(Dati!M84+Dati!T84))/Dati!$D$238)/(IF(Dati!$D$238=3,(Dati!I84+Dati!U84+Dati!J84+Dati!V84+Dati!P84),(Dati!J84+Dati!V84+Dati!P84))/Dati!$D$238),0)</f>
        <v>0.8759052021955016</v>
      </c>
    </row>
    <row r="16" spans="1:8" s="55" customFormat="1" ht="27" customHeight="1">
      <c r="A16" s="56" t="s">
        <v>27</v>
      </c>
      <c r="B16" s="57" t="s">
        <v>853</v>
      </c>
      <c r="C16" s="52">
        <f>IF(Dati!$D$117&gt;0,(Dati!D85/Dati!$D$117),0)</f>
        <v>0</v>
      </c>
      <c r="D16" s="52">
        <f>IF(Dati!$E$117&gt;0,(Dati!E85/Dati!$E$117),0)</f>
        <v>0</v>
      </c>
      <c r="E16" s="52">
        <f>IF(Dati!$F$117&gt;0,(Dati!F85/Dati!$F$117),0)</f>
        <v>0</v>
      </c>
      <c r="F16" s="52">
        <f>IF(Dati!$D$238=3,(Dati!I85+Dati!J85+Dati!Y85)/(Dati!$D$238),(Dati!J85+Dati!Y85)/Dati!$D$238)/IF(Dati!$D$238=3,(Dati!$I$117+Dati!$J$117+Dati!$Y$117)/(Dati!$D$238),(Dati!$J$117+Dati!$Y$117)/Dati!$D$238)</f>
        <v>0</v>
      </c>
      <c r="G16" s="52">
        <f>IF((Dati!D85+Dati!H85)&gt;0,(Dati!G85/(Dati!D85+Dati!H85)),0)</f>
        <v>0</v>
      </c>
      <c r="H16" s="81">
        <f>IF(((IF(Dati!$D$238=3,(Dati!I85+Dati!U85+Dati!J85+Dati!V85+Dati!P85),(Dati!J85+Dati!V85+Dati!P85))/Dati!$D$238)&gt;0),(IF(Dati!$D$238=3,(Dati!L85+Dati!M85+Dati!T85),(Dati!M85+Dati!T85))/Dati!$D$238)/(IF(Dati!$D$238=3,(Dati!I85+Dati!U85+Dati!J85+Dati!V85+Dati!P85),(Dati!J85+Dati!V85+Dati!P85))/Dati!$D$238),0)</f>
        <v>0</v>
      </c>
    </row>
    <row r="17" spans="1:8" s="55" customFormat="1" ht="27" customHeight="1">
      <c r="A17" s="56" t="s">
        <v>28</v>
      </c>
      <c r="B17" s="57" t="s">
        <v>854</v>
      </c>
      <c r="C17" s="52">
        <f>IF(Dati!$D$117&gt;0,(Dati!D86/Dati!$D$117),0)</f>
        <v>0</v>
      </c>
      <c r="D17" s="52">
        <f>IF(Dati!$E$117&gt;0,(Dati!E86/Dati!$E$117),0)</f>
        <v>0</v>
      </c>
      <c r="E17" s="52">
        <f>IF(Dati!$F$117&gt;0,(Dati!F86/Dati!$F$117),0)</f>
        <v>0</v>
      </c>
      <c r="F17" s="52">
        <f>IF(Dati!$D$238=3,(Dati!I86+Dati!J86+Dati!Y86)/(Dati!$D$238),(Dati!J86+Dati!Y86)/Dati!$D$238)/IF(Dati!$D$238=3,(Dati!$I$117+Dati!$J$117+Dati!$Y$117)/(Dati!$D$238),(Dati!$J$117+Dati!$Y$117)/Dati!$D$238)</f>
        <v>0.0003976635420217909</v>
      </c>
      <c r="G17" s="52">
        <f>IF((Dati!D86+Dati!H86)&gt;0,(Dati!G86/(Dati!D86+Dati!H86)),0)</f>
        <v>0</v>
      </c>
      <c r="H17" s="81">
        <f>IF(((IF(Dati!$D$238=3,(Dati!I86+Dati!U86+Dati!J86+Dati!V86+Dati!P86),(Dati!J86+Dati!V86+Dati!P86))/Dati!$D$238)&gt;0),(IF(Dati!$D$238=3,(Dati!L86+Dati!M86+Dati!T86),(Dati!M86+Dati!T86))/Dati!$D$238)/(IF(Dati!$D$238=3,(Dati!I86+Dati!U86+Dati!J86+Dati!V86+Dati!P86),(Dati!J86+Dati!V86+Dati!P86))/Dati!$D$238),0)</f>
        <v>0.9615384615384617</v>
      </c>
    </row>
    <row r="18" spans="1:8" s="55" customFormat="1" ht="27" customHeight="1">
      <c r="A18" s="56" t="s">
        <v>29</v>
      </c>
      <c r="B18" s="57" t="s">
        <v>855</v>
      </c>
      <c r="C18" s="52">
        <f>IF(Dati!$D$117&gt;0,(Dati!D87/Dati!$D$117),0)</f>
        <v>0</v>
      </c>
      <c r="D18" s="52">
        <f>IF(Dati!$E$117&gt;0,(Dati!E87/Dati!$E$117),0)</f>
        <v>0</v>
      </c>
      <c r="E18" s="52">
        <f>IF(Dati!$F$117&gt;0,(Dati!F87/Dati!$F$117),0)</f>
        <v>0</v>
      </c>
      <c r="F18" s="52">
        <f>IF(Dati!$D$238=3,(Dati!I87+Dati!J87+Dati!Y87)/(Dati!$D$238),(Dati!J87+Dati!Y87)/Dati!$D$238)/IF(Dati!$D$238=3,(Dati!$I$117+Dati!$J$117+Dati!$Y$117)/(Dati!$D$238),(Dati!$J$117+Dati!$Y$117)/Dati!$D$238)</f>
        <v>0</v>
      </c>
      <c r="G18" s="52">
        <f>IF((Dati!D87+Dati!H87)&gt;0,(Dati!G87/(Dati!D87+Dati!H87)),0)</f>
        <v>0</v>
      </c>
      <c r="H18" s="81">
        <f>IF(((IF(Dati!$D$238=3,(Dati!I87+Dati!U87+Dati!J87+Dati!V87+Dati!P87),(Dati!J87+Dati!V87+Dati!P87))/Dati!$D$238)&gt;0),(IF(Dati!$D$238=3,(Dati!L87+Dati!M87+Dati!T87),(Dati!M87+Dati!T87))/Dati!$D$238)/(IF(Dati!$D$238=3,(Dati!I87+Dati!U87+Dati!J87+Dati!V87+Dati!P87),(Dati!J87+Dati!V87+Dati!P87))/Dati!$D$238),0)</f>
        <v>0</v>
      </c>
    </row>
    <row r="19" spans="1:8" s="55" customFormat="1" ht="27" customHeight="1">
      <c r="A19" s="56" t="s">
        <v>30</v>
      </c>
      <c r="B19" s="57" t="s">
        <v>856</v>
      </c>
      <c r="C19" s="52">
        <f>IF(Dati!$D$117&gt;0,(Dati!D88/Dati!$D$117),0)</f>
        <v>0</v>
      </c>
      <c r="D19" s="52">
        <f>IF(Dati!$E$117&gt;0,(Dati!E88/Dati!$E$117),0)</f>
        <v>0</v>
      </c>
      <c r="E19" s="52">
        <f>IF(Dati!$F$117&gt;0,(Dati!F88/Dati!$F$117),0)</f>
        <v>0</v>
      </c>
      <c r="F19" s="52">
        <f>IF(Dati!$D$238=3,(Dati!I88+Dati!J88+Dati!Y88)/(Dati!$D$238),(Dati!J88+Dati!Y88)/Dati!$D$238)/IF(Dati!$D$238=3,(Dati!$I$117+Dati!$J$117+Dati!$Y$117)/(Dati!$D$238),(Dati!$J$117+Dati!$Y$117)/Dati!$D$238)</f>
        <v>0</v>
      </c>
      <c r="G19" s="52">
        <f>IF((Dati!D88+Dati!H88)&gt;0,(Dati!G88/(Dati!D88+Dati!H88)),0)</f>
        <v>0</v>
      </c>
      <c r="H19" s="81">
        <f>IF(((IF(Dati!$D$238=3,(Dati!I88+Dati!U88+Dati!J88+Dati!V88+Dati!P88),(Dati!J88+Dati!V88+Dati!P88))/Dati!$D$238)&gt;0),(IF(Dati!$D$238=3,(Dati!L88+Dati!M88+Dati!T88),(Dati!M88+Dati!T88))/Dati!$D$238)/(IF(Dati!$D$238=3,(Dati!I88+Dati!U88+Dati!J88+Dati!V88+Dati!P88),(Dati!J88+Dati!V88+Dati!P88))/Dati!$D$238),0)</f>
        <v>0</v>
      </c>
    </row>
    <row r="20" spans="1:8" s="55" customFormat="1" ht="27" customHeight="1">
      <c r="A20" s="58" t="s">
        <v>31</v>
      </c>
      <c r="B20" s="59" t="s">
        <v>32</v>
      </c>
      <c r="C20" s="52">
        <f>IF(Dati!$D$117&gt;0,(Dati!D89/Dati!$D$117),0)</f>
        <v>0.2015635582936657</v>
      </c>
      <c r="D20" s="52">
        <f>IF(Dati!$E$117&gt;0,(Dati!E89/Dati!$E$117),0)</f>
        <v>0.20158782728558056</v>
      </c>
      <c r="E20" s="52">
        <f>IF(Dati!$F$117&gt;0,(Dati!F89/Dati!$F$117),0)</f>
        <v>0.256154404236798</v>
      </c>
      <c r="F20" s="52">
        <f>IF(Dati!$D$238=3,(Dati!I89+Dati!J89+Dati!Y89)/(Dati!$D$238),(Dati!J89+Dati!Y89)/Dati!$D$238)/IF(Dati!$D$238=3,(Dati!$I$117+Dati!$J$117+Dati!$Y$117)/(Dati!$D$238),(Dati!$J$117+Dati!$Y$117)/Dati!$D$238)</f>
        <v>0.33232347013321434</v>
      </c>
      <c r="G20" s="52">
        <f>IF((Dati!D89+Dati!H89)&gt;0,(Dati!G89/(Dati!D89+Dati!H89)),0)</f>
        <v>0.9935556594560828</v>
      </c>
      <c r="H20" s="81">
        <f>IF(((IF(Dati!$D$238=3,(Dati!I89+Dati!U89+Dati!J89+Dati!V89+Dati!P89),(Dati!J89+Dati!V89+Dati!P89))/Dati!$D$238)&gt;0),(IF(Dati!$D$238=3,(Dati!L89+Dati!M89+Dati!T89),(Dati!M89+Dati!T89))/Dati!$D$238)/(IF(Dati!$D$238=3,(Dati!I89+Dati!U89+Dati!J89+Dati!V89+Dati!P89),(Dati!J89+Dati!V89+Dati!P89))/Dati!$D$238),0)</f>
        <v>0.8759829418168937</v>
      </c>
    </row>
    <row r="21" spans="1:8" s="55" customFormat="1" ht="27" customHeight="1">
      <c r="A21" s="53" t="s">
        <v>33</v>
      </c>
      <c r="B21" s="59" t="s">
        <v>34</v>
      </c>
      <c r="C21" s="52"/>
      <c r="D21" s="52"/>
      <c r="E21" s="52"/>
      <c r="F21" s="52"/>
      <c r="G21" s="52"/>
      <c r="H21" s="81"/>
    </row>
    <row r="22" spans="1:8" s="55" customFormat="1" ht="27" customHeight="1">
      <c r="A22" s="56" t="s">
        <v>35</v>
      </c>
      <c r="B22" s="57" t="s">
        <v>857</v>
      </c>
      <c r="C22" s="52">
        <f>IF(Dati!$D$117&gt;0,(Dati!D90/Dati!$D$117),0)</f>
        <v>0.038734268059369865</v>
      </c>
      <c r="D22" s="52">
        <f>IF(Dati!$E$117&gt;0,(Dati!E90/Dati!$E$117),0)</f>
        <v>0.04011602094702891</v>
      </c>
      <c r="E22" s="52">
        <f>IF(Dati!$F$117&gt;0,(Dati!F90/Dati!$F$117),0)</f>
        <v>0.050974781485588865</v>
      </c>
      <c r="F22" s="52">
        <f>IF(Dati!$D$238=3,(Dati!I90+Dati!J90+Dati!Y90)/(Dati!$D$238),(Dati!J90+Dati!Y90)/Dati!$D$238)/IF(Dati!$D$238=3,(Dati!$I$117+Dati!$J$117+Dati!$Y$117)/(Dati!$D$238),(Dati!$J$117+Dati!$Y$117)/Dati!$D$238)</f>
        <v>0.056251810261469366</v>
      </c>
      <c r="G22" s="52">
        <f>IF((Dati!D90+Dati!H90)&gt;0,(Dati!G90/(Dati!D90+Dati!H90)),0)</f>
        <v>0.9701629004764338</v>
      </c>
      <c r="H22" s="81">
        <f>IF(((IF(Dati!$D$238=3,(Dati!I90+Dati!U90+Dati!J90+Dati!V90+Dati!P90),(Dati!J90+Dati!V90+Dati!P90))/Dati!$D$238)&gt;0),(IF(Dati!$D$238=3,(Dati!L90+Dati!M90+Dati!T90),(Dati!M90+Dati!T90))/Dati!$D$238)/(IF(Dati!$D$238=3,(Dati!I90+Dati!U90+Dati!J90+Dati!V90+Dati!P90),(Dati!J90+Dati!V90+Dati!P90))/Dati!$D$238),0)</f>
        <v>0.7663624999118024</v>
      </c>
    </row>
    <row r="23" spans="1:8" s="55" customFormat="1" ht="27" customHeight="1">
      <c r="A23" s="56" t="s">
        <v>36</v>
      </c>
      <c r="B23" s="57" t="s">
        <v>858</v>
      </c>
      <c r="C23" s="52">
        <f>IF(Dati!$D$117&gt;0,(Dati!D91/Dati!$D$117),0)</f>
        <v>0.021882838309721153</v>
      </c>
      <c r="D23" s="52">
        <f>IF(Dati!$E$117&gt;0,(Dati!E91/Dati!$E$117),0)</f>
        <v>0.022228583345797668</v>
      </c>
      <c r="E23" s="52">
        <f>IF(Dati!$F$117&gt;0,(Dati!F91/Dati!$F$117),0)</f>
        <v>0.02824550272028303</v>
      </c>
      <c r="F23" s="52">
        <f>IF(Dati!$D$238=3,(Dati!I91+Dati!J91+Dati!Y91)/(Dati!$D$238),(Dati!J91+Dati!Y91)/Dati!$D$238)/IF(Dati!$D$238=3,(Dati!$I$117+Dati!$J$117+Dati!$Y$117)/(Dati!$D$238),(Dati!$J$117+Dati!$Y$117)/Dati!$D$238)</f>
        <v>0.033160687484790674</v>
      </c>
      <c r="G23" s="52">
        <f>IF((Dati!D91+Dati!H91)&gt;0,(Dati!G91/(Dati!D91+Dati!H91)),0)</f>
        <v>0.9206362916029188</v>
      </c>
      <c r="H23" s="81">
        <f>IF(((IF(Dati!$D$238=3,(Dati!I91+Dati!U91+Dati!J91+Dati!V91+Dati!P91),(Dati!J91+Dati!V91+Dati!P91))/Dati!$D$238)&gt;0),(IF(Dati!$D$238=3,(Dati!L91+Dati!M91+Dati!T91),(Dati!M91+Dati!T91))/Dati!$D$238)/(IF(Dati!$D$238=3,(Dati!I91+Dati!U91+Dati!J91+Dati!V91+Dati!P91),(Dati!J91+Dati!V91+Dati!P91))/Dati!$D$238),0)</f>
        <v>0.444890080554339</v>
      </c>
    </row>
    <row r="24" spans="1:8" s="55" customFormat="1" ht="27" customHeight="1">
      <c r="A24" s="56" t="s">
        <v>37</v>
      </c>
      <c r="B24" s="57" t="s">
        <v>859</v>
      </c>
      <c r="C24" s="52">
        <f>IF(Dati!$D$117&gt;0,(Dati!D92/Dati!$D$117),0)</f>
        <v>0.0007291896463873105</v>
      </c>
      <c r="D24" s="52">
        <f>IF(Dati!$E$117&gt;0,(Dati!E92/Dati!$E$117),0)</f>
        <v>0.0007407107158678086</v>
      </c>
      <c r="E24" s="52">
        <f>IF(Dati!$F$117&gt;0,(Dati!F92/Dati!$F$117),0)</f>
        <v>0.0009412091726458245</v>
      </c>
      <c r="F24" s="52">
        <f>IF(Dati!$D$238=3,(Dati!I92+Dati!J92+Dati!Y92)/(Dati!$D$238),(Dati!J92+Dati!Y92)/Dati!$D$238)/IF(Dati!$D$238=3,(Dati!$I$117+Dati!$J$117+Dati!$Y$117)/(Dati!$D$238),(Dati!$J$117+Dati!$Y$117)/Dati!$D$238)</f>
        <v>0.0011829900762473475</v>
      </c>
      <c r="G24" s="52">
        <f>IF((Dati!D92+Dati!H92)&gt;0,(Dati!G92/(Dati!D92+Dati!H92)),0)</f>
        <v>1.0000000000000002</v>
      </c>
      <c r="H24" s="81">
        <f>IF(((IF(Dati!$D$238=3,(Dati!I92+Dati!U92+Dati!J92+Dati!V92+Dati!P92),(Dati!J92+Dati!V92+Dati!P92))/Dati!$D$238)&gt;0),(IF(Dati!$D$238=3,(Dati!L92+Dati!M92+Dati!T92),(Dati!M92+Dati!T92))/Dati!$D$238)/(IF(Dati!$D$238=3,(Dati!I92+Dati!U92+Dati!J92+Dati!V92+Dati!P92),(Dati!J92+Dati!V92+Dati!P92))/Dati!$D$238),0)</f>
        <v>0.8551774499089899</v>
      </c>
    </row>
    <row r="25" spans="1:8" s="55" customFormat="1" ht="27" customHeight="1">
      <c r="A25" s="56" t="s">
        <v>38</v>
      </c>
      <c r="B25" s="57" t="s">
        <v>860</v>
      </c>
      <c r="C25" s="52">
        <f>IF(Dati!$D$117&gt;0,(Dati!D93/Dati!$D$117),0)</f>
        <v>0</v>
      </c>
      <c r="D25" s="52">
        <f>IF(Dati!$E$117&gt;0,(Dati!E93/Dati!$E$117),0)</f>
        <v>0</v>
      </c>
      <c r="E25" s="52">
        <f>IF(Dati!$F$117&gt;0,(Dati!F93/Dati!$F$117),0)</f>
        <v>0</v>
      </c>
      <c r="F25" s="52">
        <f>IF(Dati!$D$238=3,(Dati!I93+Dati!J93+Dati!Y93)/(Dati!$D$238),(Dati!J93+Dati!Y93)/Dati!$D$238)/IF(Dati!$D$238=3,(Dati!$I$117+Dati!$J$117+Dati!$Y$117)/(Dati!$D$238),(Dati!$J$117+Dati!$Y$117)/Dati!$D$238)</f>
        <v>0.005161978670475171</v>
      </c>
      <c r="G25" s="52">
        <f>IF((Dati!D93+Dati!H93)&gt;0,(Dati!G93/(Dati!D93+Dati!H93)),0)</f>
        <v>1</v>
      </c>
      <c r="H25" s="81">
        <f>IF(((IF(Dati!$D$238=3,(Dati!I93+Dati!U93+Dati!J93+Dati!V93+Dati!P93),(Dati!J93+Dati!V93+Dati!P93))/Dati!$D$238)&gt;0),(IF(Dati!$D$238=3,(Dati!L93+Dati!M93+Dati!T93),(Dati!M93+Dati!T93))/Dati!$D$238)/(IF(Dati!$D$238=3,(Dati!I93+Dati!U93+Dati!J93+Dati!V93+Dati!P93),(Dati!J93+Dati!V93+Dati!P93))/Dati!$D$238),0)</f>
        <v>0.5294117647058824</v>
      </c>
    </row>
    <row r="26" spans="1:8" s="55" customFormat="1" ht="27" customHeight="1">
      <c r="A26" s="58" t="s">
        <v>39</v>
      </c>
      <c r="B26" s="57" t="s">
        <v>861</v>
      </c>
      <c r="C26" s="52">
        <f>IF(Dati!$D$117&gt;0,(Dati!D94/Dati!$D$117),0)</f>
        <v>0.04484599810347553</v>
      </c>
      <c r="D26" s="52">
        <f>IF(Dati!$E$117&gt;0,(Dati!E94/Dati!$E$117),0)</f>
        <v>0.045554557067021204</v>
      </c>
      <c r="E26" s="52">
        <f>IF(Dati!$F$117&gt;0,(Dati!F94/Dati!$F$117),0)</f>
        <v>0.05788544170994549</v>
      </c>
      <c r="F26" s="52">
        <f>IF(Dati!$D$238=3,(Dati!I94+Dati!J94+Dati!Y94)/(Dati!$D$238),(Dati!J94+Dati!Y94)/Dati!$D$238)/IF(Dati!$D$238=3,(Dati!$I$117+Dati!$J$117+Dati!$Y$117)/(Dati!$D$238),(Dati!$J$117+Dati!$Y$117)/Dati!$D$238)</f>
        <v>0.04282074385991296</v>
      </c>
      <c r="G26" s="52">
        <f>IF((Dati!D94+Dati!H94)&gt;0,(Dati!G94/(Dati!D94+Dati!H94)),0)</f>
        <v>1</v>
      </c>
      <c r="H26" s="81">
        <f>IF(((IF(Dati!$D$238=3,(Dati!I94+Dati!U94+Dati!J94+Dati!V94+Dati!P94),(Dati!J94+Dati!V94+Dati!P94))/Dati!$D$238)&gt;0),(IF(Dati!$D$238=3,(Dati!L94+Dati!M94+Dati!T94),(Dati!M94+Dati!T94))/Dati!$D$238)/(IF(Dati!$D$238=3,(Dati!I94+Dati!U94+Dati!J94+Dati!V94+Dati!P94),(Dati!J94+Dati!V94+Dati!P94))/Dati!$D$238),0)</f>
        <v>0.9132923278902297</v>
      </c>
    </row>
    <row r="27" spans="1:8" s="55" customFormat="1" ht="27" customHeight="1">
      <c r="A27" s="53" t="s">
        <v>40</v>
      </c>
      <c r="B27" s="59" t="s">
        <v>41</v>
      </c>
      <c r="C27" s="52">
        <f>IF(Dati!$D$117&gt;0,(Dati!D95/Dati!$D$117),0)</f>
        <v>0.10619229411895385</v>
      </c>
      <c r="D27" s="52">
        <f>IF(Dati!$E$117&gt;0,(Dati!E95/Dati!$E$117),0)</f>
        <v>0.10863987207571559</v>
      </c>
      <c r="E27" s="52">
        <f>IF(Dati!$F$117&gt;0,(Dati!F95/Dati!$F$117),0)</f>
        <v>0.1380469350884632</v>
      </c>
      <c r="F27" s="52">
        <f>IF(Dati!$D$238=3,(Dati!I95+Dati!J95+Dati!Y95)/(Dati!$D$238),(Dati!J95+Dati!Y95)/Dati!$D$238)/IF(Dati!$D$238=3,(Dati!$I$117+Dati!$J$117+Dati!$Y$117)/(Dati!$D$238),(Dati!$J$117+Dati!$Y$117)/Dati!$D$238)</f>
        <v>0.13857821035289553</v>
      </c>
      <c r="G27" s="52">
        <f>IF((Dati!D95+Dati!H95)&gt;0,(Dati!G95/(Dati!D95+Dati!H95)),0)</f>
        <v>0.9561905202407162</v>
      </c>
      <c r="H27" s="81">
        <f>IF(((IF(Dati!$D$238=3,(Dati!I95+Dati!U95+Dati!J95+Dati!V95+Dati!P95),(Dati!J95+Dati!V95+Dati!P95))/Dati!$D$238)&gt;0),(IF(Dati!$D$238=3,(Dati!L95+Dati!M95+Dati!T95),(Dati!M95+Dati!T95))/Dati!$D$238)/(IF(Dati!$D$238=3,(Dati!I95+Dati!U95+Dati!J95+Dati!V95+Dati!P95),(Dati!J95+Dati!V95+Dati!P95))/Dati!$D$238),0)</f>
        <v>0.6303496506718177</v>
      </c>
    </row>
    <row r="28" spans="1:8" s="55" customFormat="1" ht="27" customHeight="1">
      <c r="A28" s="53" t="s">
        <v>42</v>
      </c>
      <c r="B28" s="59" t="s">
        <v>43</v>
      </c>
      <c r="C28" s="52"/>
      <c r="D28" s="52"/>
      <c r="E28" s="52"/>
      <c r="F28" s="52"/>
      <c r="G28" s="52"/>
      <c r="H28" s="81"/>
    </row>
    <row r="29" spans="1:8" s="55" customFormat="1" ht="27" customHeight="1">
      <c r="A29" s="56" t="s">
        <v>44</v>
      </c>
      <c r="B29" s="57" t="s">
        <v>862</v>
      </c>
      <c r="C29" s="52">
        <f>IF(Dati!$D$117&gt;0,(Dati!D96/Dati!$D$117),0)</f>
        <v>0</v>
      </c>
      <c r="D29" s="52">
        <f>IF(Dati!$E$117&gt;0,(Dati!E96/Dati!$E$117),0)</f>
        <v>0</v>
      </c>
      <c r="E29" s="52">
        <f>IF(Dati!$F$117&gt;0,(Dati!F96/Dati!$F$117),0)</f>
        <v>0</v>
      </c>
      <c r="F29" s="52">
        <f>IF(Dati!$D$238=3,(Dati!I96+Dati!J96+Dati!Y96)/(Dati!$D$238),(Dati!J96+Dati!Y96)/Dati!$D$238)/IF(Dati!$D$238=3,(Dati!$I$117+Dati!$J$117+Dati!$Y$117)/(Dati!$D$238),(Dati!$J$117+Dati!$Y$117)/Dati!$D$238)</f>
        <v>0</v>
      </c>
      <c r="G29" s="52">
        <f>IF((Dati!D96+Dati!H96)&gt;0,(Dati!G96/(Dati!D96+Dati!H96)),0)</f>
        <v>0</v>
      </c>
      <c r="H29" s="81">
        <f>IF(((IF(Dati!$D$238=3,(Dati!I96+Dati!U96+Dati!J96+Dati!V96+Dati!P96),(Dati!J96+Dati!V96+Dati!P96))/Dati!$D$238)&gt;0),(IF(Dati!$D$238=3,(Dati!L96+Dati!M96+Dati!T96),(Dati!M96+Dati!T96))/Dati!$D$238)/(IF(Dati!$D$238=3,(Dati!I96+Dati!U96+Dati!J96+Dati!V96+Dati!P96),(Dati!J96+Dati!V96+Dati!P96))/Dati!$D$238),0)</f>
        <v>0</v>
      </c>
    </row>
    <row r="30" spans="1:8" s="55" customFormat="1" ht="27" customHeight="1">
      <c r="A30" s="56" t="s">
        <v>45</v>
      </c>
      <c r="B30" s="57" t="s">
        <v>0</v>
      </c>
      <c r="C30" s="52">
        <f>IF(Dati!$D$117&gt;0,(Dati!D97/Dati!$D$117),0)</f>
        <v>0.36059230437015927</v>
      </c>
      <c r="D30" s="52">
        <f>IF(Dati!$E$117&gt;0,(Dati!E97/Dati!$E$117),0)</f>
        <v>0.4060200891624425</v>
      </c>
      <c r="E30" s="52">
        <f>IF(Dati!$F$117&gt;0,(Dati!F97/Dati!$F$117),0)</f>
        <v>0.2461620513343282</v>
      </c>
      <c r="F30" s="52">
        <f>IF(Dati!$D$238=3,(Dati!I97+Dati!J97+Dati!Y97)/(Dati!$D$238),(Dati!J97+Dati!Y97)/Dati!$D$238)/IF(Dati!$D$238=3,(Dati!$I$117+Dati!$J$117+Dati!$Y$117)/(Dati!$D$238),(Dati!$J$117+Dati!$Y$117)/Dati!$D$238)</f>
        <v>0.12058982210278031</v>
      </c>
      <c r="G30" s="52">
        <f>IF((Dati!D97+Dati!H97)&gt;0,(Dati!G97/(Dati!D97+Dati!H97)),0)</f>
        <v>1.0000000000000002</v>
      </c>
      <c r="H30" s="81">
        <f>IF(((IF(Dati!$D$238=3,(Dati!I97+Dati!U97+Dati!J97+Dati!V97+Dati!P97),(Dati!J97+Dati!V97+Dati!P97))/Dati!$D$238)&gt;0),(IF(Dati!$D$238=3,(Dati!L97+Dati!M97+Dati!T97),(Dati!M97+Dati!T97))/Dati!$D$238)/(IF(Dati!$D$238=3,(Dati!I97+Dati!U97+Dati!J97+Dati!V97+Dati!P97),(Dati!J97+Dati!V97+Dati!P97))/Dati!$D$238),0)</f>
        <v>0.8844848509875083</v>
      </c>
    </row>
    <row r="31" spans="1:8" s="55" customFormat="1" ht="27" customHeight="1">
      <c r="A31" s="56" t="s">
        <v>46</v>
      </c>
      <c r="B31" s="57" t="s">
        <v>1</v>
      </c>
      <c r="C31" s="52">
        <f>IF(Dati!$D$117&gt;0,(Dati!D98/Dati!$D$117),0)</f>
        <v>0</v>
      </c>
      <c r="D31" s="52">
        <f>IF(Dati!$E$117&gt;0,(Dati!E98/Dati!$E$117),0)</f>
        <v>0</v>
      </c>
      <c r="E31" s="52">
        <f>IF(Dati!$F$117&gt;0,(Dati!F98/Dati!$F$117),0)</f>
        <v>0</v>
      </c>
      <c r="F31" s="52">
        <f>IF(Dati!$D$238=3,(Dati!I98+Dati!J98+Dati!Y98)/(Dati!$D$238),(Dati!J98+Dati!Y98)/Dati!$D$238)/IF(Dati!$D$238=3,(Dati!$I$117+Dati!$J$117+Dati!$Y$117)/(Dati!$D$238),(Dati!$J$117+Dati!$Y$117)/Dati!$D$238)</f>
        <v>0</v>
      </c>
      <c r="G31" s="52">
        <f>IF((Dati!D98+Dati!H98)&gt;0,(Dati!G98/(Dati!D98+Dati!H98)),0)</f>
        <v>0</v>
      </c>
      <c r="H31" s="81">
        <f>IF(((IF(Dati!$D$238=3,(Dati!I98+Dati!U98+Dati!J98+Dati!V98+Dati!P98),(Dati!J98+Dati!V98+Dati!P98))/Dati!$D$238)&gt;0),(IF(Dati!$D$238=3,(Dati!L98+Dati!M98+Dati!T98),(Dati!M98+Dati!T98))/Dati!$D$238)/(IF(Dati!$D$238=3,(Dati!I98+Dati!U98+Dati!J98+Dati!V98+Dati!P98),(Dati!J98+Dati!V98+Dati!P98))/Dati!$D$238),0)</f>
        <v>0</v>
      </c>
    </row>
    <row r="32" spans="1:8" s="55" customFormat="1" ht="27" customHeight="1">
      <c r="A32" s="56" t="s">
        <v>47</v>
      </c>
      <c r="B32" s="57" t="s">
        <v>2</v>
      </c>
      <c r="C32" s="52">
        <f>IF(Dati!$D$117&gt;0,(Dati!D99/Dati!$D$117),0)</f>
        <v>0.03830125523037439</v>
      </c>
      <c r="D32" s="52">
        <f>IF(Dati!$E$117&gt;0,(Dati!E99/Dati!$E$117),0)</f>
        <v>0.004647596648582329</v>
      </c>
      <c r="E32" s="52">
        <f>IF(Dati!$F$117&gt;0,(Dati!F99/Dati!$F$117),0)</f>
        <v>0.0049828720904778944</v>
      </c>
      <c r="F32" s="52">
        <f>IF(Dati!$D$238=3,(Dati!I99+Dati!J99+Dati!Y99)/(Dati!$D$238),(Dati!J99+Dati!Y99)/Dati!$D$238)/IF(Dati!$D$238=3,(Dati!$I$117+Dati!$J$117+Dati!$Y$117)/(Dati!$D$238),(Dati!$J$117+Dati!$Y$117)/Dati!$D$238)</f>
        <v>0.003785757531837515</v>
      </c>
      <c r="G32" s="52">
        <f>IF((Dati!D99+Dati!H99)&gt;0,(Dati!G99/(Dati!D99+Dati!H99)),0)</f>
        <v>0.9996374372567949</v>
      </c>
      <c r="H32" s="81">
        <f>IF(((IF(Dati!$D$238=3,(Dati!I99+Dati!U99+Dati!J99+Dati!V99+Dati!P99),(Dati!J99+Dati!V99+Dati!P99))/Dati!$D$238)&gt;0),(IF(Dati!$D$238=3,(Dati!L99+Dati!M99+Dati!T99),(Dati!M99+Dati!T99))/Dati!$D$238)/(IF(Dati!$D$238=3,(Dati!I99+Dati!U99+Dati!J99+Dati!V99+Dati!P99),(Dati!J99+Dati!V99+Dati!P99))/Dati!$D$238),0)</f>
        <v>0.22807704463976278</v>
      </c>
    </row>
    <row r="33" spans="1:8" s="55" customFormat="1" ht="27" customHeight="1">
      <c r="A33" s="56" t="s">
        <v>48</v>
      </c>
      <c r="B33" s="57" t="s">
        <v>3</v>
      </c>
      <c r="C33" s="52">
        <f>IF(Dati!$D$117&gt;0,(Dati!D100/Dati!$D$117),0)</f>
        <v>0.002859567240734551</v>
      </c>
      <c r="D33" s="52">
        <f>IF(Dati!$E$117&gt;0,(Dati!E100/Dati!$E$117),0)</f>
        <v>0.0029047479053639553</v>
      </c>
      <c r="E33" s="52">
        <f>IF(Dati!$F$117&gt;0,(Dati!F100/Dati!$F$117),0)</f>
        <v>0.003691016363316959</v>
      </c>
      <c r="F33" s="52">
        <f>IF(Dati!$D$238=3,(Dati!I100+Dati!J100+Dati!Y100)/(Dati!$D$238),(Dati!J100+Dati!Y100)/Dati!$D$238)/IF(Dati!$D$238=3,(Dati!$I$117+Dati!$J$117+Dati!$Y$117)/(Dati!$D$238),(Dati!$J$117+Dati!$Y$117)/Dati!$D$238)</f>
        <v>0.004000006336003804</v>
      </c>
      <c r="G33" s="52">
        <f>IF((Dati!D100+Dati!H100)&gt;0,(Dati!G100/(Dati!D100+Dati!H100)),0)</f>
        <v>1</v>
      </c>
      <c r="H33" s="81">
        <f>IF(((IF(Dati!$D$238=3,(Dati!I100+Dati!U100+Dati!J100+Dati!V100+Dati!P100),(Dati!J100+Dati!V100+Dati!P100))/Dati!$D$238)&gt;0),(IF(Dati!$D$238=3,(Dati!L100+Dati!M100+Dati!T100),(Dati!M100+Dati!T100))/Dati!$D$238)/(IF(Dati!$D$238=3,(Dati!I100+Dati!U100+Dati!J100+Dati!V100+Dati!P100),(Dati!J100+Dati!V100+Dati!P100))/Dati!$D$238),0)</f>
        <v>0.9894654323576478</v>
      </c>
    </row>
    <row r="34" spans="1:8" s="55" customFormat="1" ht="27" customHeight="1">
      <c r="A34" s="58" t="s">
        <v>49</v>
      </c>
      <c r="B34" s="59" t="s">
        <v>50</v>
      </c>
      <c r="C34" s="52">
        <f>IF(Dati!$D$117&gt;0,(Dati!D101/Dati!$D$117),0)</f>
        <v>0.40175312684126824</v>
      </c>
      <c r="D34" s="52">
        <f>IF(Dati!$E$117&gt;0,(Dati!E101/Dati!$E$117),0)</f>
        <v>0.41357243371638874</v>
      </c>
      <c r="E34" s="52">
        <f>IF(Dati!$F$117&gt;0,(Dati!F101/Dati!$F$117),0)</f>
        <v>0.254835939788123</v>
      </c>
      <c r="F34" s="52">
        <f>IF(Dati!$D$238=3,(Dati!I101+Dati!J101+Dati!Y101)/(Dati!$D$238),(Dati!J101+Dati!Y101)/Dati!$D$238)/IF(Dati!$D$238=3,(Dati!$I$117+Dati!$J$117+Dati!$Y$117)/(Dati!$D$238),(Dati!$J$117+Dati!$Y$117)/Dati!$D$238)</f>
        <v>0.12837558597062165</v>
      </c>
      <c r="G34" s="52">
        <f>IF((Dati!D101+Dati!H101)&gt;0,(Dati!G101/(Dati!D101+Dati!H101)),0)</f>
        <v>0.99996614904624</v>
      </c>
      <c r="H34" s="81">
        <f>IF(((IF(Dati!$D$238=3,(Dati!I101+Dati!U101+Dati!J101+Dati!V101+Dati!P101),(Dati!J101+Dati!V101+Dati!P101))/Dati!$D$238)&gt;0),(IF(Dati!$D$238=3,(Dati!L101+Dati!M101+Dati!T101),(Dati!M101+Dati!T101))/Dati!$D$238)/(IF(Dati!$D$238=3,(Dati!I101+Dati!U101+Dati!J101+Dati!V101+Dati!P101),(Dati!J101+Dati!V101+Dati!P101))/Dati!$D$238),0)</f>
        <v>0.8726651697542507</v>
      </c>
    </row>
    <row r="35" spans="1:8" s="55" customFormat="1" ht="27" customHeight="1">
      <c r="A35" s="53" t="s">
        <v>51</v>
      </c>
      <c r="B35" s="59" t="s">
        <v>52</v>
      </c>
      <c r="C35" s="52"/>
      <c r="D35" s="52"/>
      <c r="E35" s="52"/>
      <c r="F35" s="52"/>
      <c r="G35" s="52"/>
      <c r="H35" s="81"/>
    </row>
    <row r="36" spans="1:8" s="55" customFormat="1" ht="27" customHeight="1">
      <c r="A36" s="56" t="s">
        <v>53</v>
      </c>
      <c r="B36" s="57" t="s">
        <v>4</v>
      </c>
      <c r="C36" s="52">
        <f>IF(Dati!$D$117&gt;0,(Dati!D102/Dati!$D$117),0)</f>
        <v>0</v>
      </c>
      <c r="D36" s="52">
        <f>IF(Dati!$E$117&gt;0,(Dati!E102/Dati!$E$117),0)</f>
        <v>0</v>
      </c>
      <c r="E36" s="52">
        <f>IF(Dati!$F$117&gt;0,(Dati!F102/Dati!$F$117),0)</f>
        <v>0</v>
      </c>
      <c r="F36" s="52">
        <f>IF(Dati!$D$238=3,(Dati!I102+Dati!J102+Dati!Y102)/(Dati!$D$238),(Dati!J102+Dati!Y102)/Dati!$D$238)/IF(Dati!$D$238=3,(Dati!$I$117+Dati!$J$117+Dati!$Y$117)/(Dati!$D$238),(Dati!$J$117+Dati!$Y$117)/Dati!$D$238)</f>
        <v>0</v>
      </c>
      <c r="G36" s="52">
        <f>IF((Dati!D102+Dati!H102)&gt;0,(Dati!G102/(Dati!D102+Dati!H102)),0)</f>
        <v>0</v>
      </c>
      <c r="H36" s="81">
        <f>IF(((IF(Dati!$D$238=3,(Dati!I102+Dati!U102+Dati!J102+Dati!V102+Dati!P102),(Dati!J102+Dati!V102+Dati!P102))/Dati!$D$238)&gt;0),(IF(Dati!$D$238=3,(Dati!L102+Dati!M102+Dati!T102),(Dati!M102+Dati!T102))/Dati!$D$238)/(IF(Dati!$D$238=3,(Dati!I102+Dati!U102+Dati!J102+Dati!V102+Dati!P102),(Dati!J102+Dati!V102+Dati!P102))/Dati!$D$238),0)</f>
        <v>0</v>
      </c>
    </row>
    <row r="37" spans="1:8" s="55" customFormat="1" ht="27" customHeight="1">
      <c r="A37" s="56" t="s">
        <v>54</v>
      </c>
      <c r="B37" s="57" t="s">
        <v>5</v>
      </c>
      <c r="C37" s="52">
        <f>IF(Dati!$D$117&gt;0,(Dati!D103/Dati!$D$117),0)</f>
        <v>0</v>
      </c>
      <c r="D37" s="52">
        <f>IF(Dati!$E$117&gt;0,(Dati!E103/Dati!$E$117),0)</f>
        <v>0</v>
      </c>
      <c r="E37" s="52">
        <f>IF(Dati!$F$117&gt;0,(Dati!F103/Dati!$F$117),0)</f>
        <v>0</v>
      </c>
      <c r="F37" s="52">
        <f>IF(Dati!$D$238=3,(Dati!I103+Dati!J103+Dati!Y103)/(Dati!$D$238),(Dati!J103+Dati!Y103)/Dati!$D$238)/IF(Dati!$D$238=3,(Dati!$I$117+Dati!$J$117+Dati!$Y$117)/(Dati!$D$238),(Dati!$J$117+Dati!$Y$117)/Dati!$D$238)</f>
        <v>0</v>
      </c>
      <c r="G37" s="52">
        <f>IF((Dati!D103+Dati!H103)&gt;0,(Dati!G103/(Dati!D103+Dati!H103)),0)</f>
        <v>0</v>
      </c>
      <c r="H37" s="81">
        <f>IF(((IF(Dati!$D$238=3,(Dati!I103+Dati!U103+Dati!J103+Dati!V103+Dati!P103),(Dati!J103+Dati!V103+Dati!P103))/Dati!$D$238)&gt;0),(IF(Dati!$D$238=3,(Dati!L103+Dati!M103+Dati!T103),(Dati!M103+Dati!T103))/Dati!$D$238)/(IF(Dati!$D$238=3,(Dati!I103+Dati!U103+Dati!J103+Dati!V103+Dati!P103),(Dati!J103+Dati!V103+Dati!P103))/Dati!$D$238),0)</f>
        <v>0</v>
      </c>
    </row>
    <row r="38" spans="1:8" s="55" customFormat="1" ht="27" customHeight="1">
      <c r="A38" s="56" t="s">
        <v>55</v>
      </c>
      <c r="B38" s="57" t="s">
        <v>6</v>
      </c>
      <c r="C38" s="52">
        <f>IF(Dati!$D$117&gt;0,(Dati!D104/Dati!$D$117),0)</f>
        <v>0</v>
      </c>
      <c r="D38" s="52">
        <f>IF(Dati!$E$117&gt;0,(Dati!E104/Dati!$E$117),0)</f>
        <v>0</v>
      </c>
      <c r="E38" s="52">
        <f>IF(Dati!$F$117&gt;0,(Dati!F104/Dati!$F$117),0)</f>
        <v>0</v>
      </c>
      <c r="F38" s="52">
        <f>IF(Dati!$D$238=3,(Dati!I104+Dati!J104+Dati!Y104)/(Dati!$D$238),(Dati!J104+Dati!Y104)/Dati!$D$238)/IF(Dati!$D$238=3,(Dati!$I$117+Dati!$J$117+Dati!$Y$117)/(Dati!$D$238),(Dati!$J$117+Dati!$Y$117)/Dati!$D$238)</f>
        <v>0</v>
      </c>
      <c r="G38" s="52">
        <f>IF((Dati!D104+Dati!H104)&gt;0,(Dati!G104/(Dati!D104+Dati!H104)),0)</f>
        <v>0</v>
      </c>
      <c r="H38" s="81">
        <f>IF(((IF(Dati!$D$238=3,(Dati!I104+Dati!U104+Dati!J104+Dati!V104+Dati!P104),(Dati!J104+Dati!V104+Dati!P104))/Dati!$D$238)&gt;0),(IF(Dati!$D$238=3,(Dati!L104+Dati!M104+Dati!T104),(Dati!M104+Dati!T104))/Dati!$D$238)/(IF(Dati!$D$238=3,(Dati!I104+Dati!U104+Dati!J104+Dati!V104+Dati!P104),(Dati!J104+Dati!V104+Dati!P104))/Dati!$D$238),0)</f>
        <v>1</v>
      </c>
    </row>
    <row r="39" spans="1:8" s="55" customFormat="1" ht="27" customHeight="1">
      <c r="A39" s="56" t="s">
        <v>56</v>
      </c>
      <c r="B39" s="57" t="s">
        <v>7</v>
      </c>
      <c r="C39" s="52">
        <f>IF(Dati!$D$117&gt;0,(Dati!D105/Dati!$D$117),0)</f>
        <v>0</v>
      </c>
      <c r="D39" s="52">
        <f>IF(Dati!$E$117&gt;0,(Dati!E105/Dati!$E$117),0)</f>
        <v>0</v>
      </c>
      <c r="E39" s="52">
        <f>IF(Dati!$F$117&gt;0,(Dati!F105/Dati!$F$117),0)</f>
        <v>0</v>
      </c>
      <c r="F39" s="52">
        <f>IF(Dati!$D$238=3,(Dati!I105+Dati!J105+Dati!Y105)/(Dati!$D$238),(Dati!J105+Dati!Y105)/Dati!$D$238)/IF(Dati!$D$238=3,(Dati!$I$117+Dati!$J$117+Dati!$Y$117)/(Dati!$D$238),(Dati!$J$117+Dati!$Y$117)/Dati!$D$238)</f>
        <v>0</v>
      </c>
      <c r="G39" s="52">
        <f>IF((Dati!D105+Dati!H105)&gt;0,(Dati!G105/(Dati!D105+Dati!H105)),0)</f>
        <v>0</v>
      </c>
      <c r="H39" s="81">
        <f>IF(((IF(Dati!$D$238=3,(Dati!I105+Dati!U105+Dati!J105+Dati!V105+Dati!P105),(Dati!J105+Dati!V105+Dati!P105))/Dati!$D$238)&gt;0),(IF(Dati!$D$238=3,(Dati!L105+Dati!M105+Dati!T105),(Dati!M105+Dati!T105))/Dati!$D$238)/(IF(Dati!$D$238=3,(Dati!I105+Dati!U105+Dati!J105+Dati!V105+Dati!P105),(Dati!J105+Dati!V105+Dati!P105))/Dati!$D$238),0)</f>
        <v>0</v>
      </c>
    </row>
    <row r="40" spans="1:8" s="55" customFormat="1" ht="27" customHeight="1">
      <c r="A40" s="58" t="s">
        <v>57</v>
      </c>
      <c r="B40" s="59" t="s">
        <v>58</v>
      </c>
      <c r="C40" s="52">
        <f>IF(Dati!$D$117&gt;0,(Dati!D106/Dati!$D$117),0)</f>
        <v>0</v>
      </c>
      <c r="D40" s="52">
        <f>IF(Dati!$E$117&gt;0,(Dati!E106/Dati!$E$117),0)</f>
        <v>0</v>
      </c>
      <c r="E40" s="52">
        <f>IF(Dati!$F$117&gt;0,(Dati!F106/Dati!$F$117),0)</f>
        <v>0</v>
      </c>
      <c r="F40" s="52">
        <f>IF(Dati!$D$238=3,(Dati!I106+Dati!J106+Dati!Y106)/(Dati!$D$238),(Dati!J106+Dati!Y106)/Dati!$D$238)/IF(Dati!$D$238=3,(Dati!$I$117+Dati!$J$117+Dati!$Y$117)/(Dati!$D$238),(Dati!$J$117+Dati!$Y$117)/Dati!$D$238)</f>
        <v>0</v>
      </c>
      <c r="G40" s="52">
        <f>IF((Dati!D106+Dati!H106)&gt;0,(Dati!G106/(Dati!D106+Dati!H106)),0)</f>
        <v>0</v>
      </c>
      <c r="H40" s="81">
        <f>IF(((IF(Dati!$D$238=3,(Dati!I106+Dati!U106+Dati!J106+Dati!V106+Dati!P106),(Dati!J106+Dati!V106+Dati!P106))/Dati!$D$238)&gt;0),(IF(Dati!$D$238=3,(Dati!L106+Dati!M106+Dati!T106),(Dati!M106+Dati!T106))/Dati!$D$238)/(IF(Dati!$D$238=3,(Dati!I106+Dati!U106+Dati!J106+Dati!V106+Dati!P106),(Dati!J106+Dati!V106+Dati!P106))/Dati!$D$238),0)</f>
        <v>1</v>
      </c>
    </row>
    <row r="41" spans="1:8" s="55" customFormat="1" ht="27" customHeight="1">
      <c r="A41" s="53" t="s">
        <v>59</v>
      </c>
      <c r="B41" s="59" t="s">
        <v>60</v>
      </c>
      <c r="C41" s="52"/>
      <c r="D41" s="52"/>
      <c r="E41" s="52"/>
      <c r="F41" s="52"/>
      <c r="G41" s="52"/>
      <c r="H41" s="81"/>
    </row>
    <row r="42" spans="1:8" s="55" customFormat="1" ht="27" customHeight="1">
      <c r="A42" s="56" t="s">
        <v>61</v>
      </c>
      <c r="B42" s="57" t="s">
        <v>8</v>
      </c>
      <c r="C42" s="52">
        <f>IF(Dati!$D$117&gt;0,(Dati!D107/Dati!$D$117),0)</f>
        <v>0</v>
      </c>
      <c r="D42" s="52">
        <f>IF(Dati!$E$117&gt;0,(Dati!E107/Dati!$E$117),0)</f>
        <v>0</v>
      </c>
      <c r="E42" s="52">
        <f>IF(Dati!$F$117&gt;0,(Dati!F107/Dati!$F$117),0)</f>
        <v>0</v>
      </c>
      <c r="F42" s="52">
        <f>IF(Dati!$D$238=3,(Dati!I107+Dati!J107+Dati!Y107)/(Dati!$D$238),(Dati!J107+Dati!Y107)/Dati!$D$238)/IF(Dati!$D$238=3,(Dati!$I$117+Dati!$J$117+Dati!$Y$117)/(Dati!$D$238),(Dati!$J$117+Dati!$Y$117)/Dati!$D$238)</f>
        <v>0</v>
      </c>
      <c r="G42" s="52">
        <f>IF((Dati!D107+Dati!H107)&gt;0,(Dati!G107/(Dati!D107+Dati!H107)),0)</f>
        <v>0</v>
      </c>
      <c r="H42" s="81">
        <f>IF(((IF(Dati!$D$238=3,(Dati!I107+Dati!U107+Dati!J107+Dati!V107+Dati!P107),(Dati!J107+Dati!V107+Dati!P107))/Dati!$D$238)&gt;0),(IF(Dati!$D$238=3,(Dati!L107+Dati!M107+Dati!T107),(Dati!M107+Dati!T107))/Dati!$D$238)/(IF(Dati!$D$238=3,(Dati!I107+Dati!U107+Dati!J107+Dati!V107+Dati!P107),(Dati!J107+Dati!V107+Dati!P107))/Dati!$D$238),0)</f>
        <v>0</v>
      </c>
    </row>
    <row r="43" spans="1:8" s="55" customFormat="1" ht="27" customHeight="1">
      <c r="A43" s="56" t="s">
        <v>62</v>
      </c>
      <c r="B43" s="57" t="s">
        <v>9</v>
      </c>
      <c r="C43" s="52">
        <f>IF(Dati!$D$117&gt;0,(Dati!D108/Dati!$D$117),0)</f>
        <v>0</v>
      </c>
      <c r="D43" s="52">
        <f>IF(Dati!$E$117&gt;0,(Dati!E108/Dati!$E$117),0)</f>
        <v>0</v>
      </c>
      <c r="E43" s="52">
        <f>IF(Dati!$F$117&gt;0,(Dati!F108/Dati!$F$117),0)</f>
        <v>0</v>
      </c>
      <c r="F43" s="52">
        <f>IF(Dati!$D$238=3,(Dati!I108+Dati!J108+Dati!Y108)/(Dati!$D$238),(Dati!J108+Dati!Y108)/Dati!$D$238)/IF(Dati!$D$238=3,(Dati!$I$117+Dati!$J$117+Dati!$Y$117)/(Dati!$D$238),(Dati!$J$117+Dati!$Y$117)/Dati!$D$238)</f>
        <v>0</v>
      </c>
      <c r="G43" s="52">
        <f>IF((Dati!D108+Dati!H108)&gt;0,(Dati!G108/(Dati!D108+Dati!H108)),0)</f>
        <v>0</v>
      </c>
      <c r="H43" s="81">
        <f>IF(((IF(Dati!$D$238=3,(Dati!I108+Dati!U108+Dati!J108+Dati!V108+Dati!P108),(Dati!J108+Dati!V108+Dati!P108))/Dati!$D$238)&gt;0),(IF(Dati!$D$238=3,(Dati!L108+Dati!M108+Dati!T108),(Dati!M108+Dati!T108))/Dati!$D$238)/(IF(Dati!$D$238=3,(Dati!I108+Dati!U108+Dati!J108+Dati!V108+Dati!P108),(Dati!J108+Dati!V108+Dati!P108))/Dati!$D$238),0)</f>
        <v>0</v>
      </c>
    </row>
    <row r="44" spans="1:8" s="55" customFormat="1" ht="27" customHeight="1">
      <c r="A44" s="56" t="s">
        <v>63</v>
      </c>
      <c r="B44" s="57" t="s">
        <v>10</v>
      </c>
      <c r="C44" s="52">
        <f>IF(Dati!$D$117&gt;0,(Dati!D109/Dati!$D$117),0)</f>
        <v>0</v>
      </c>
      <c r="D44" s="52">
        <f>IF(Dati!$E$117&gt;0,(Dati!E109/Dati!$E$117),0)</f>
        <v>0</v>
      </c>
      <c r="E44" s="52">
        <f>IF(Dati!$F$117&gt;0,(Dati!F109/Dati!$F$117),0)</f>
        <v>0</v>
      </c>
      <c r="F44" s="52">
        <f>IF(Dati!$D$238=3,(Dati!I109+Dati!J109+Dati!Y109)/(Dati!$D$238),(Dati!J109+Dati!Y109)/Dati!$D$238)/IF(Dati!$D$238=3,(Dati!$I$117+Dati!$J$117+Dati!$Y$117)/(Dati!$D$238),(Dati!$J$117+Dati!$Y$117)/Dati!$D$238)</f>
        <v>0</v>
      </c>
      <c r="G44" s="52">
        <f>IF((Dati!D109+Dati!H109)&gt;0,(Dati!G109/(Dati!D109+Dati!H109)),0)</f>
        <v>0</v>
      </c>
      <c r="H44" s="81">
        <f>IF(((IF(Dati!$D$238=3,(Dati!I109+Dati!U109+Dati!J109+Dati!V109+Dati!P109),(Dati!J109+Dati!V109+Dati!P109))/Dati!$D$238)&gt;0),(IF(Dati!$D$238=3,(Dati!L109+Dati!M109+Dati!T109),(Dati!M109+Dati!T109))/Dati!$D$238)/(IF(Dati!$D$238=3,(Dati!I109+Dati!U109+Dati!J109+Dati!V109+Dati!P109),(Dati!J109+Dati!V109+Dati!P109))/Dati!$D$238),0)</f>
        <v>0.6080803107171526</v>
      </c>
    </row>
    <row r="45" spans="1:8" s="55" customFormat="1" ht="27" customHeight="1">
      <c r="A45" s="56" t="s">
        <v>64</v>
      </c>
      <c r="B45" s="57" t="s">
        <v>11</v>
      </c>
      <c r="C45" s="52">
        <f>IF(Dati!$D$117&gt;0,(Dati!D110/Dati!$D$117),0)</f>
        <v>0</v>
      </c>
      <c r="D45" s="52">
        <f>IF(Dati!$E$117&gt;0,(Dati!E110/Dati!$E$117),0)</f>
        <v>0</v>
      </c>
      <c r="E45" s="52">
        <f>IF(Dati!$F$117&gt;0,(Dati!F110/Dati!$F$117),0)</f>
        <v>0</v>
      </c>
      <c r="F45" s="52">
        <f>IF(Dati!$D$238=3,(Dati!I110+Dati!J110+Dati!Y110)/(Dati!$D$238),(Dati!J110+Dati!Y110)/Dati!$D$238)/IF(Dati!$D$238=3,(Dati!$I$117+Dati!$J$117+Dati!$Y$117)/(Dati!$D$238),(Dati!$J$117+Dati!$Y$117)/Dati!$D$238)</f>
        <v>0</v>
      </c>
      <c r="G45" s="52">
        <f>IF((Dati!D110+Dati!H110)&gt;0,(Dati!G110/(Dati!D110+Dati!H110)),0)</f>
        <v>0</v>
      </c>
      <c r="H45" s="81">
        <f>IF(((IF(Dati!$D$238=3,(Dati!I110+Dati!U110+Dati!J110+Dati!V110+Dati!P110),(Dati!J110+Dati!V110+Dati!P110))/Dati!$D$238)&gt;0),(IF(Dati!$D$238=3,(Dati!L110+Dati!M110+Dati!T110),(Dati!M110+Dati!T110))/Dati!$D$238)/(IF(Dati!$D$238=3,(Dati!I110+Dati!U110+Dati!J110+Dati!V110+Dati!P110),(Dati!J110+Dati!V110+Dati!P110))/Dati!$D$238),0)</f>
        <v>0</v>
      </c>
    </row>
    <row r="46" spans="1:8" s="55" customFormat="1" ht="27" customHeight="1">
      <c r="A46" s="58" t="s">
        <v>65</v>
      </c>
      <c r="B46" s="59" t="s">
        <v>66</v>
      </c>
      <c r="C46" s="52">
        <f>IF(Dati!$D$117&gt;0,(Dati!D111/Dati!$D$117),0)</f>
        <v>0</v>
      </c>
      <c r="D46" s="52">
        <f>IF(Dati!$E$117&gt;0,(Dati!E111/Dati!$E$117),0)</f>
        <v>0</v>
      </c>
      <c r="E46" s="52">
        <f>IF(Dati!$F$117&gt;0,(Dati!F111/Dati!$F$117),0)</f>
        <v>0</v>
      </c>
      <c r="F46" s="52">
        <f>IF(Dati!$D$238=3,(Dati!I111+Dati!J111+Dati!Y111)/(Dati!$D$238),(Dati!J111+Dati!Y111)/Dati!$D$238)/IF(Dati!$D$238=3,(Dati!$I$117+Dati!$J$117+Dati!$Y$117)/(Dati!$D$238),(Dati!$J$117+Dati!$Y$117)/Dati!$D$238)</f>
        <v>0</v>
      </c>
      <c r="G46" s="52">
        <f>IF((Dati!D111+Dati!H111)&gt;0,(Dati!G111/(Dati!D111+Dati!H111)),0)</f>
        <v>0</v>
      </c>
      <c r="H46" s="81">
        <f>IF(((IF(Dati!$D$238=3,(Dati!I111+Dati!U111+Dati!J111+Dati!V111+Dati!P111),(Dati!J111+Dati!V111+Dati!P111))/Dati!$D$238)&gt;0),(IF(Dati!$D$238=3,(Dati!L111+Dati!M111+Dati!T111),(Dati!M111+Dati!T111))/Dati!$D$238)/(IF(Dati!$D$238=3,(Dati!I111+Dati!U111+Dati!J111+Dati!V111+Dati!P111),(Dati!J111+Dati!V111+Dati!P111))/Dati!$D$238),0)</f>
        <v>0.6080803107171526</v>
      </c>
    </row>
    <row r="47" spans="1:8" s="55" customFormat="1" ht="27" customHeight="1">
      <c r="A47" s="53" t="s">
        <v>67</v>
      </c>
      <c r="B47" s="59" t="s">
        <v>68</v>
      </c>
      <c r="C47" s="52"/>
      <c r="D47" s="52"/>
      <c r="E47" s="52"/>
      <c r="F47" s="52"/>
      <c r="G47" s="52"/>
      <c r="H47" s="81"/>
    </row>
    <row r="48" spans="1:8" s="55" customFormat="1" ht="27" customHeight="1">
      <c r="A48" s="56" t="s">
        <v>69</v>
      </c>
      <c r="B48" s="57" t="s">
        <v>12</v>
      </c>
      <c r="C48" s="52">
        <f>IF(Dati!$D$117&gt;0,(Dati!D112/Dati!$D$117),0)</f>
        <v>0</v>
      </c>
      <c r="D48" s="52">
        <f>IF(Dati!$E$117&gt;0,(Dati!E112/Dati!$E$117),0)</f>
        <v>0</v>
      </c>
      <c r="E48" s="52">
        <f>IF(Dati!$F$117&gt;0,(Dati!F112/Dati!$F$117),0)</f>
        <v>0</v>
      </c>
      <c r="F48" s="52">
        <f>IF(Dati!$D$238=3,(Dati!I112+Dati!J112+Dati!Y112)/(Dati!$D$238),(Dati!J112+Dati!Y112)/Dati!$D$238)/IF(Dati!$D$238=3,(Dati!$I$117+Dati!$J$117+Dati!$Y$117)/(Dati!$D$238),(Dati!$J$117+Dati!$Y$117)/Dati!$D$238)</f>
        <v>0</v>
      </c>
      <c r="G48" s="52">
        <f>IF((Dati!D112+Dati!H112)&gt;0,(Dati!G112/(Dati!D112+Dati!H112)),0)</f>
        <v>0</v>
      </c>
      <c r="H48" s="81">
        <f>IF(((IF(Dati!$D$238=3,(Dati!I112+Dati!U112+Dati!J112+Dati!V112+Dati!P112),(Dati!J112+Dati!V112+Dati!P112))/Dati!$D$238)&gt;0),(IF(Dati!$D$238=3,(Dati!L112+Dati!M112+Dati!T112),(Dati!M112+Dati!T112))/Dati!$D$238)/(IF(Dati!$D$238=3,(Dati!I112+Dati!U112+Dati!J112+Dati!V112+Dati!P112),(Dati!J112+Dati!V112+Dati!P112))/Dati!$D$238),0)</f>
        <v>0</v>
      </c>
    </row>
    <row r="49" spans="1:8" s="55" customFormat="1" ht="27" customHeight="1">
      <c r="A49" s="58" t="s">
        <v>70</v>
      </c>
      <c r="B49" s="59" t="s">
        <v>71</v>
      </c>
      <c r="C49" s="52">
        <f>IF(Dati!$D$117&gt;0,(Dati!D113/Dati!$D$117),0)</f>
        <v>0</v>
      </c>
      <c r="D49" s="52">
        <f>IF(Dati!$E$117&gt;0,(Dati!E113/Dati!$E$117),0)</f>
        <v>0</v>
      </c>
      <c r="E49" s="52">
        <f>IF(Dati!$F$117&gt;0,(Dati!F113/Dati!$F$117),0)</f>
        <v>0</v>
      </c>
      <c r="F49" s="52">
        <f>IF(Dati!$D$238=3,(Dati!I113+Dati!J113+Dati!Y113)/(Dati!$D$238),(Dati!J113+Dati!Y113)/Dati!$D$238)/IF(Dati!$D$238=3,(Dati!$I$117+Dati!$J$117+Dati!$Y$117)/(Dati!$D$238),(Dati!$J$117+Dati!$Y$117)/Dati!$D$238)</f>
        <v>0</v>
      </c>
      <c r="G49" s="52">
        <f>IF((Dati!D113+Dati!H113)&gt;0,(Dati!G113/(Dati!D113+Dati!H113)),0)</f>
        <v>0</v>
      </c>
      <c r="H49" s="81">
        <f>IF(((IF(Dati!$D$238=3,(Dati!I113+Dati!U113+Dati!J113+Dati!V113+Dati!P113),(Dati!J113+Dati!V113+Dati!P113))/Dati!$D$238)&gt;0),(IF(Dati!$D$238=3,(Dati!L113+Dati!M113+Dati!T113),(Dati!M113+Dati!T113))/Dati!$D$238)/(IF(Dati!$D$238=3,(Dati!I113+Dati!U113+Dati!J113+Dati!V113+Dati!P113),(Dati!J113+Dati!V113+Dati!P113))/Dati!$D$238),0)</f>
        <v>0</v>
      </c>
    </row>
    <row r="50" spans="1:8" s="55" customFormat="1" ht="27" customHeight="1">
      <c r="A50" s="53" t="s">
        <v>72</v>
      </c>
      <c r="B50" s="59" t="s">
        <v>73</v>
      </c>
      <c r="C50" s="52"/>
      <c r="D50" s="52"/>
      <c r="E50" s="52"/>
      <c r="F50" s="52"/>
      <c r="G50" s="52"/>
      <c r="H50" s="81"/>
    </row>
    <row r="51" spans="1:8" s="55" customFormat="1" ht="27" customHeight="1">
      <c r="A51" s="56" t="s">
        <v>74</v>
      </c>
      <c r="B51" s="57" t="s">
        <v>13</v>
      </c>
      <c r="C51" s="52">
        <f>IF(Dati!$D$117&gt;0,(Dati!D114/Dati!$D$117),0)</f>
        <v>0.043465422059165176</v>
      </c>
      <c r="D51" s="52">
        <f>IF(Dati!$E$117&gt;0,(Dati!E114/Dati!$E$117),0)</f>
        <v>0.04415216816153212</v>
      </c>
      <c r="E51" s="52">
        <f>IF(Dati!$F$117&gt;0,(Dati!F114/Dati!$F$117),0)</f>
        <v>0.05610344872241778</v>
      </c>
      <c r="F51" s="52">
        <f>IF(Dati!$D$238=3,(Dati!I114+Dati!J114+Dati!Y114)/(Dati!$D$238),(Dati!J114+Dati!Y114)/Dati!$D$238)/IF(Dati!$D$238=3,(Dati!$I$117+Dati!$J$117+Dati!$Y$117)/(Dati!$D$238),(Dati!$J$117+Dati!$Y$117)/Dati!$D$238)</f>
        <v>0.049800834738401176</v>
      </c>
      <c r="G51" s="52">
        <f>IF((Dati!D114+Dati!H114)&gt;0,(Dati!G114/(Dati!D114+Dati!H114)),0)</f>
        <v>1</v>
      </c>
      <c r="H51" s="81">
        <f>IF(((IF(Dati!$D$238=3,(Dati!I114+Dati!U114+Dati!J114+Dati!V114+Dati!P114),(Dati!J114+Dati!V114+Dati!P114))/Dati!$D$238)&gt;0),(IF(Dati!$D$238=3,(Dati!L114+Dati!M114+Dati!T114),(Dati!M114+Dati!T114))/Dati!$D$238)/(IF(Dati!$D$238=3,(Dati!I114+Dati!U114+Dati!J114+Dati!V114+Dati!P114),(Dati!J114+Dati!V114+Dati!P114))/Dati!$D$238),0)</f>
        <v>1</v>
      </c>
    </row>
    <row r="52" spans="1:8" s="55" customFormat="1" ht="27" customHeight="1">
      <c r="A52" s="56" t="s">
        <v>75</v>
      </c>
      <c r="B52" s="57" t="s">
        <v>14</v>
      </c>
      <c r="C52" s="52">
        <f>IF(Dati!$D$117&gt;0,(Dati!D115/Dati!$D$117),0)</f>
        <v>0.04951340677331875</v>
      </c>
      <c r="D52" s="52">
        <f>IF(Dati!$E$117&gt;0,(Dati!E115/Dati!$E$117),0)</f>
        <v>0.05029570998137689</v>
      </c>
      <c r="E52" s="52">
        <f>IF(Dati!$F$117&gt;0,(Dati!F115/Dati!$F$117),0)</f>
        <v>0.06390994833083315</v>
      </c>
      <c r="F52" s="52">
        <f>IF(Dati!$D$238=3,(Dati!I115+Dati!J115+Dati!Y115)/(Dati!$D$238),(Dati!J115+Dati!Y115)/Dati!$D$238)/IF(Dati!$D$238=3,(Dati!$I$117+Dati!$J$117+Dati!$Y$117)/(Dati!$D$238),(Dati!$J$117+Dati!$Y$117)/Dati!$D$238)</f>
        <v>0.05126086966289432</v>
      </c>
      <c r="G52" s="52">
        <f>IF((Dati!D115+Dati!H115)&gt;0,(Dati!G115/(Dati!D115+Dati!H115)),0)</f>
        <v>0.9999999999999998</v>
      </c>
      <c r="H52" s="81">
        <f>IF(((IF(Dati!$D$238=3,(Dati!I115+Dati!U115+Dati!J115+Dati!V115+Dati!P115),(Dati!J115+Dati!V115+Dati!P115))/Dati!$D$238)&gt;0),(IF(Dati!$D$238=3,(Dati!L115+Dati!M115+Dati!T115),(Dati!M115+Dati!T115))/Dati!$D$238)/(IF(Dati!$D$238=3,(Dati!I115+Dati!U115+Dati!J115+Dati!V115+Dati!P115),(Dati!J115+Dati!V115+Dati!P115))/Dati!$D$238),0)</f>
        <v>0.8825373335601514</v>
      </c>
    </row>
    <row r="53" spans="1:8" s="55" customFormat="1" ht="27" customHeight="1">
      <c r="A53" s="58" t="s">
        <v>76</v>
      </c>
      <c r="B53" s="59" t="s">
        <v>77</v>
      </c>
      <c r="C53" s="52">
        <f>IF(Dati!$D$117&gt;0,(Dati!D116/Dati!$D$117),0)</f>
        <v>0.09297882883248393</v>
      </c>
      <c r="D53" s="52">
        <f>IF(Dati!$E$117&gt;0,(Dati!E116/Dati!$E$117),0)</f>
        <v>0.09444787814290902</v>
      </c>
      <c r="E53" s="52">
        <f>IF(Dati!$F$117&gt;0,(Dati!F116/Dati!$F$117),0)</f>
        <v>0.12001339705325093</v>
      </c>
      <c r="F53" s="52">
        <f>IF(Dati!$D$238=3,(Dati!I116+Dati!J116+Dati!Y116)/(Dati!$D$238),(Dati!J116+Dati!Y116)/Dati!$D$238)/IF(Dati!$D$238=3,(Dati!$I$117+Dati!$J$117+Dati!$Y$117)/(Dati!$D$238),(Dati!$J$117+Dati!$Y$117)/Dati!$D$238)</f>
        <v>0.10106170440129551</v>
      </c>
      <c r="G53" s="52">
        <f>IF((Dati!D116+Dati!H116)&gt;0,(Dati!G116/(Dati!D116+Dati!H116)),0)</f>
        <v>1</v>
      </c>
      <c r="H53" s="81">
        <f>IF(((IF(Dati!$D$238=3,(Dati!I116+Dati!U116+Dati!J116+Dati!V116+Dati!P116),(Dati!J116+Dati!V116+Dati!P116))/Dati!$D$238)&gt;0),(IF(Dati!$D$238=3,(Dati!L116+Dati!M116+Dati!T116),(Dati!M116+Dati!T116))/Dati!$D$238)/(IF(Dati!$D$238=3,(Dati!I116+Dati!U116+Dati!J116+Dati!V116+Dati!P116),(Dati!J116+Dati!V116+Dati!P116))/Dati!$D$238),0)</f>
        <v>0.9349282566412567</v>
      </c>
    </row>
    <row r="54" spans="1:8" s="55" customFormat="1" ht="27" customHeight="1">
      <c r="A54" s="155" t="s">
        <v>78</v>
      </c>
      <c r="B54" s="155"/>
      <c r="C54" s="52">
        <f>IF(Dati!$D$117&gt;0,(Dati!D117/Dati!$D$117),0)</f>
        <v>1</v>
      </c>
      <c r="D54" s="52">
        <f>IF(Dati!$E$117&gt;0,(Dati!E117/Dati!$E$117),0)</f>
        <v>1</v>
      </c>
      <c r="E54" s="52">
        <f>IF(Dati!$F$117&gt;0,(Dati!F117/Dati!$F$117),0)</f>
        <v>1</v>
      </c>
      <c r="F54" s="52">
        <f>IF(Dati!$D$238=3,(Dati!I117+Dati!J117+Dati!Y117)/(Dati!$D$238),(Dati!J117+Dati!Y117)/Dati!$D$238)/IF(Dati!$D$238=3,(Dati!$I$117+Dati!$J$117+Dati!$Y$117)/(Dati!$D$238),(Dati!$J$117+Dati!$Y$117)/Dati!$D$238)</f>
        <v>1</v>
      </c>
      <c r="G54" s="52">
        <f>IF((Dati!D117+Dati!H117)&gt;0,(Dati!G117/(Dati!D117+Dati!H117)),0)</f>
        <v>0.95155573362836</v>
      </c>
      <c r="H54" s="81">
        <f>IF(((IF(Dati!$D$238=3,(Dati!I117+Dati!U117+Dati!J117+Dati!V117+Dati!P117),(Dati!J117+Dati!V117+Dati!P117))/Dati!$D$238)&gt;0),(IF(Dati!$D$238=3,(Dati!L117+Dati!M117+Dati!T117),(Dati!M117+Dati!T117))/Dati!$D$238)/(IF(Dati!$D$238=3,(Dati!I117+Dati!U117+Dati!J117+Dati!V117+Dati!P117),(Dati!J117+Dati!V117+Dati!P117))/Dati!$D$238),0)</f>
        <v>0.7319813575271504</v>
      </c>
    </row>
    <row r="55" spans="1:8" ht="38.25" customHeight="1">
      <c r="A55" s="150" t="s">
        <v>15</v>
      </c>
      <c r="B55" s="151"/>
      <c r="C55" s="151"/>
      <c r="D55" s="151"/>
      <c r="E55" s="151"/>
      <c r="F55" s="151"/>
      <c r="G55" s="151"/>
      <c r="H55" s="151"/>
    </row>
    <row r="56" spans="1:8" ht="15" customHeight="1">
      <c r="A56" s="60"/>
      <c r="B56" s="60"/>
      <c r="C56" s="60"/>
      <c r="D56" s="60"/>
      <c r="E56" s="60"/>
      <c r="F56" s="60"/>
      <c r="G56" s="60"/>
      <c r="H56" s="60"/>
    </row>
    <row r="57" spans="1:8" ht="15" customHeight="1">
      <c r="A57" s="60"/>
      <c r="B57" s="60"/>
      <c r="C57" s="60"/>
      <c r="D57" s="60"/>
      <c r="E57" s="60"/>
      <c r="F57" s="60"/>
      <c r="G57" s="60"/>
      <c r="H57" s="60"/>
    </row>
    <row r="58" spans="1:8" ht="42.75" customHeight="1">
      <c r="A58" s="60"/>
      <c r="B58" s="60"/>
      <c r="C58" s="60"/>
      <c r="D58" s="60"/>
      <c r="E58" s="60"/>
      <c r="F58" s="60"/>
      <c r="G58" s="60"/>
      <c r="H58" s="60"/>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A102">
      <selection activeCell="A1" sqref="A1:M113"/>
    </sheetView>
  </sheetViews>
  <sheetFormatPr defaultColWidth="9.00390625" defaultRowHeight="15"/>
  <cols>
    <col min="1" max="1" width="21.421875" style="15" customWidth="1"/>
    <col min="2" max="2" width="7.00390625" style="80" customWidth="1"/>
    <col min="3" max="3" width="33.421875" style="3" customWidth="1"/>
    <col min="4" max="4" width="19.7109375" style="1" customWidth="1"/>
    <col min="5" max="5" width="17.57421875" style="1" customWidth="1"/>
    <col min="6" max="6" width="12.57421875" style="1" customWidth="1"/>
    <col min="7" max="7" width="19.7109375" style="1" customWidth="1"/>
    <col min="8" max="8" width="17.57421875" style="1" customWidth="1"/>
    <col min="9" max="9" width="19.7109375" style="1" customWidth="1"/>
    <col min="10" max="10" width="17.57421875" style="1" customWidth="1"/>
    <col min="11" max="12" width="12.57421875" style="1" customWidth="1"/>
    <col min="13" max="13" width="15.8515625" style="1" customWidth="1"/>
    <col min="14" max="16384" width="9.00390625" style="1" customWidth="1"/>
  </cols>
  <sheetData>
    <row r="1" spans="1:6" s="34" customFormat="1" ht="12.75" customHeight="1">
      <c r="A1" s="62" t="str">
        <f>CONCATENATE("Denominazione Ente: ",Dati!D231," - ",Dati!D232)</f>
        <v>Denominazione Ente: COMUNE DI IGLESIAS - PROVINCIA SUD SARDEGNA</v>
      </c>
      <c r="B1" s="72"/>
      <c r="C1" s="61"/>
      <c r="D1" s="33"/>
      <c r="E1" s="33"/>
      <c r="F1" s="33"/>
    </row>
    <row r="2" spans="1:12" s="34" customFormat="1" ht="12.75" customHeight="1">
      <c r="A2" s="62"/>
      <c r="B2" s="73"/>
      <c r="C2" s="61"/>
      <c r="D2" s="36"/>
      <c r="F2" s="38"/>
      <c r="L2" s="37" t="s">
        <v>84</v>
      </c>
    </row>
    <row r="3" spans="1:13" s="34" customFormat="1" ht="18" customHeight="1">
      <c r="A3" s="132" t="s">
        <v>663</v>
      </c>
      <c r="B3" s="132"/>
      <c r="C3" s="132"/>
      <c r="D3" s="132"/>
      <c r="E3" s="132"/>
      <c r="F3" s="132"/>
      <c r="G3" s="144"/>
      <c r="H3" s="144"/>
      <c r="I3" s="144"/>
      <c r="J3" s="144"/>
      <c r="K3" s="144"/>
      <c r="L3" s="144"/>
      <c r="M3" s="144"/>
    </row>
    <row r="4" spans="1:13" s="34" customFormat="1" ht="15" customHeight="1">
      <c r="A4" s="145" t="s">
        <v>85</v>
      </c>
      <c r="B4" s="147"/>
      <c r="C4" s="147"/>
      <c r="D4" s="147"/>
      <c r="E4" s="147"/>
      <c r="F4" s="147"/>
      <c r="G4" s="147"/>
      <c r="H4" s="147"/>
      <c r="I4" s="147"/>
      <c r="J4" s="147"/>
      <c r="K4" s="147"/>
      <c r="L4" s="147"/>
      <c r="M4" s="147"/>
    </row>
    <row r="5" spans="1:12" s="34" customFormat="1" ht="15" customHeight="1">
      <c r="A5" s="145" t="str">
        <f>CONCATENATE("                                                Bilancio di Previsione esercizi ",Dati!D233,",",Dati!D234," e ",Dati!D235)</f>
        <v>                                                Bilancio di Previsione esercizi 2018,2019 e 2020</v>
      </c>
      <c r="B5" s="146"/>
      <c r="C5" s="146"/>
      <c r="D5" s="147"/>
      <c r="E5" s="147"/>
      <c r="F5" s="147"/>
      <c r="G5" s="147"/>
      <c r="H5" s="147"/>
      <c r="I5" s="147"/>
      <c r="J5" s="156" t="str">
        <f>CONCATENATE("approvato il ")</f>
        <v>approvato il </v>
      </c>
      <c r="K5" s="157"/>
      <c r="L5" s="51">
        <f>IF(Dati!$D$236&lt;&gt;"",Dati!$D$236,"")</f>
      </c>
    </row>
    <row r="6" spans="1:8" s="34" customFormat="1" ht="15" customHeight="1">
      <c r="A6" s="148"/>
      <c r="B6" s="148"/>
      <c r="C6" s="148"/>
      <c r="D6" s="148"/>
      <c r="E6" s="148"/>
      <c r="F6" s="148"/>
      <c r="G6" s="149"/>
      <c r="H6" s="149"/>
    </row>
    <row r="7" spans="1:13" ht="42" customHeight="1">
      <c r="A7" s="158" t="s">
        <v>776</v>
      </c>
      <c r="B7" s="158"/>
      <c r="C7" s="158"/>
      <c r="D7" s="161" t="str">
        <f>CONCATENATE("BILANCIO DI PREVISIONE ESERCIZI ",Dati!D233,Dati!D234,Dati!D235," (dati percentuali)")</f>
        <v>BILANCIO DI PREVISIONE ESERCIZI 201820192020 (dati percentuali)</v>
      </c>
      <c r="E7" s="161"/>
      <c r="F7" s="161"/>
      <c r="G7" s="161"/>
      <c r="H7" s="161"/>
      <c r="I7" s="161"/>
      <c r="J7" s="161"/>
      <c r="K7" s="161" t="s">
        <v>86</v>
      </c>
      <c r="L7" s="161"/>
      <c r="M7" s="161"/>
    </row>
    <row r="8" spans="1:13" ht="12" customHeight="1">
      <c r="A8" s="158" t="s">
        <v>776</v>
      </c>
      <c r="B8" s="159"/>
      <c r="C8" s="159"/>
      <c r="D8" s="182" t="s">
        <v>95</v>
      </c>
      <c r="E8" s="183"/>
      <c r="F8" s="67" t="str">
        <f>Dati!D233</f>
        <v>2018</v>
      </c>
      <c r="G8" s="66" t="s">
        <v>95</v>
      </c>
      <c r="H8" s="67">
        <f>Dati!D234</f>
        <v>2019</v>
      </c>
      <c r="I8" s="66" t="s">
        <v>95</v>
      </c>
      <c r="J8" s="67">
        <f>Dati!D235</f>
        <v>2020</v>
      </c>
      <c r="K8" s="162" t="s">
        <v>107</v>
      </c>
      <c r="L8" s="164" t="s">
        <v>98</v>
      </c>
      <c r="M8" s="164" t="s">
        <v>88</v>
      </c>
    </row>
    <row r="9" spans="1:13" ht="85.5" customHeight="1">
      <c r="A9" s="158" t="s">
        <v>776</v>
      </c>
      <c r="B9" s="159"/>
      <c r="C9" s="159"/>
      <c r="D9" s="65" t="s">
        <v>89</v>
      </c>
      <c r="E9" s="64" t="s">
        <v>96</v>
      </c>
      <c r="F9" s="64" t="s">
        <v>97</v>
      </c>
      <c r="G9" s="65" t="s">
        <v>89</v>
      </c>
      <c r="H9" s="64" t="s">
        <v>96</v>
      </c>
      <c r="I9" s="65" t="s">
        <v>89</v>
      </c>
      <c r="J9" s="64" t="s">
        <v>96</v>
      </c>
      <c r="K9" s="163" t="s">
        <v>90</v>
      </c>
      <c r="L9" s="163" t="s">
        <v>87</v>
      </c>
      <c r="M9" s="163" t="s">
        <v>88</v>
      </c>
    </row>
    <row r="10" spans="1:13" ht="12.75" customHeight="1">
      <c r="A10" s="160" t="s">
        <v>101</v>
      </c>
      <c r="B10" s="74" t="s">
        <v>778</v>
      </c>
      <c r="C10" s="75" t="s">
        <v>456</v>
      </c>
      <c r="D10" s="52">
        <f>IF(Dati!$D$228&gt;0,(Dati!D124/Dati!$D$228),0)</f>
        <v>0.006490027324408159</v>
      </c>
      <c r="E10" s="52">
        <f>IF(Dati!$E$228&gt;0,(Dati!E124/Dati!$E$228),0)</f>
        <v>0.02455021566740539</v>
      </c>
      <c r="F10" s="52">
        <f>IF((Dati!D124-Dati!E124+Dati!K124)&gt;0,((Dati!J124)/(Dati!D124-Dati!E124+Dati!K124)),0)</f>
        <v>1.0000000000000002</v>
      </c>
      <c r="G10" s="52">
        <f>IF(Dati!$F$228&gt;0,(Dati!F124/Dati!$F$228),0)</f>
        <v>0.00663639259442547</v>
      </c>
      <c r="H10" s="52">
        <f>IF(Dati!$G$228&gt;0,(Dati!G124/Dati!$G$228),0)</f>
        <v>0.02823636817841474</v>
      </c>
      <c r="I10" s="52">
        <f>IF(Dati!$H$228&gt;0,(Dati!H124/Dati!$H$228),0)</f>
        <v>0.00832749124044918</v>
      </c>
      <c r="J10" s="52">
        <f>IF(Dati!$I$228&gt;0,(Dati!I124/Dati!$I$228),0)</f>
        <v>0.02823673193649196</v>
      </c>
      <c r="K10" s="52">
        <f>IF((IF(Dati!$D$238=3,(Dati!$L$228+Dati!$M$228+Dati!$N$228+Dati!$O$228+Dati!$Y$228+Dati!$Q$228),(Dati!$N$228+Dati!$O$228+Dati!$Y$228+Dati!$Q$228))/Dati!$D$238)&gt;0,((IF(Dati!$D$238=3,(Dati!L124+Dati!M124+Dati!N124+Dati!O124+Dati!Y124+Dati!Q124),(Dati!N124+Dati!O124+Dati!Y124+Dati!Q124))/Dati!$D$238)/(IF(Dati!$D$238=3,(Dati!$L$228+Dati!$M$228+Dati!$N$228+Dati!$O$228+Dati!$Y$228+Dati!$Q$228),(Dati!$N$228+Dati!$O$228+Dati!$Y$228+Dati!$Q$228))/Dati!$D$238)),0)</f>
        <v>0.010569964748309292</v>
      </c>
      <c r="L10" s="81">
        <f>IF((IF(Dati!$D$238=3,(Dati!$M$228+Dati!$O$228+Dati!$Q$228),(Dati!$O$228+Dati!$Q$228)/Dati!$D$238))&gt;0,((IF(Dati!$D$238=3,(Dati!M124+Dati!O124+Dati!Q124),(Dati!O124+Dati!Q124)/Dati!$D$238)/(IF(Dati!$D$238=3,(Dati!$M$228+Dati!$O$228+Dati!$Q$228),(Dati!$O$228+Dati!$Q$228)/Dati!$D$238)))),0)</f>
        <v>0.0036947225352129036</v>
      </c>
      <c r="M10" s="81">
        <f>IF((IF(Dati!$D$238=3,(Dati!L124+Dati!N124+Dati!Y124+Dati!U124+Dati!V124+Dati!W124),(Dati!N124+Dati!Y124+Dati!V124+Dati!W124)/Dati!$D$238))&gt;0,((IF(Dati!$D$238=3,(Dati!R124+Dati!S124+Dati!AC124),(Dati!S124+Dati!AC124)/Dati!$D$238)/(IF(Dati!$D$238=3,(Dati!L124+Dati!N124+Dati!Y124+Dati!U124+Dati!V124+Dati!W124),(Dati!N124+Dati!Y124+Dati!V124+Dati!W124)/Dati!$D$238)))),0)</f>
        <v>0.9400425834110319</v>
      </c>
    </row>
    <row r="11" spans="1:13" ht="12" customHeight="1">
      <c r="A11" s="158" t="s">
        <v>777</v>
      </c>
      <c r="B11" s="74" t="s">
        <v>779</v>
      </c>
      <c r="C11" s="75" t="s">
        <v>458</v>
      </c>
      <c r="D11" s="52">
        <f>IF(Dati!$D$228&gt;0,(Dati!D125/Dati!$D$228),0)</f>
        <v>0.009497931341892038</v>
      </c>
      <c r="E11" s="52">
        <f>IF(Dati!$E$228&gt;0,(Dati!E125/Dati!$E$228),0)</f>
        <v>0.0808242265228844</v>
      </c>
      <c r="F11" s="52">
        <f>IF((Dati!D125-Dati!E125+Dati!K125)&gt;0,((Dati!J125)/(Dati!D125-Dati!E125+Dati!K125)),0)</f>
        <v>1</v>
      </c>
      <c r="G11" s="52">
        <f>IF(Dati!$F$228&gt;0,(Dati!F125/Dati!$F$228),0)</f>
        <v>0.010503094308198187</v>
      </c>
      <c r="H11" s="52">
        <f>IF(Dati!$G$228&gt;0,(Dati!G125/Dati!$G$228),0)</f>
        <v>0.10165911301377052</v>
      </c>
      <c r="I11" s="52">
        <f>IF(Dati!$H$228&gt;0,(Dati!H125/Dati!$H$228),0)</f>
        <v>0.012988033201999904</v>
      </c>
      <c r="J11" s="52">
        <f>IF(Dati!$I$228&gt;0,(Dati!I125/Dati!$I$228),0)</f>
        <v>0.10165907495994522</v>
      </c>
      <c r="K11" s="52">
        <f>IF((IF(Dati!$D$238=3,(Dati!$L$228+Dati!$M$228+Dati!$N$228+Dati!$O$228+Dati!$Y$228+Dati!$Q$228),(Dati!$N$228+Dati!$O$228+Dati!$Y$228+Dati!$Q$228))/Dati!$D$238)&gt;0,((IF(Dati!$D$238=3,(Dati!L125+Dati!M125+Dati!N125+Dati!O125+Dati!Y125+Dati!Q125),(Dati!N125+Dati!O125+Dati!Y125+Dati!Q125))/Dati!$D$238)/(IF(Dati!$D$238=3,(Dati!$L$228+Dati!$M$228+Dati!$N$228+Dati!$O$228+Dati!$Y$228+Dati!$Q$228),(Dati!$N$228+Dati!$O$228+Dati!$Y$228+Dati!$Q$228))/Dati!$D$238)),0)</f>
        <v>0.015979306069660224</v>
      </c>
      <c r="L11" s="81">
        <f>IF((IF(Dati!$D$238=3,(Dati!$M$228+Dati!$O$228+Dati!$Q$228),(Dati!$O$228+Dati!$Q$228)/Dati!$D$238))&gt;0,((IF(Dati!$D$238=3,(Dati!M125+Dati!O125+Dati!Q125),(Dati!O125+Dati!Q125)/Dati!$D$238)/(IF(Dati!$D$238=3,(Dati!$M$228+Dati!$O$228+Dati!$Q$228),(Dati!$O$228+Dati!$Q$228)/Dati!$D$238)))),0)</f>
        <v>0.012717226292340148</v>
      </c>
      <c r="M11" s="81">
        <f>IF((IF(Dati!$D$238=3,(Dati!L125+Dati!N125+Dati!Y125+Dati!U125+Dati!V125+Dati!W125),(Dati!N125+Dati!Y125+Dati!V125+Dati!W125)/Dati!$D$238))&gt;0,((IF(Dati!$D$238=3,(Dati!R125+Dati!S125+Dati!AC125),(Dati!S125+Dati!AC125)/Dati!$D$238)/(IF(Dati!$D$238=3,(Dati!L125+Dati!N125+Dati!Y125+Dati!U125+Dati!V125+Dati!W125),(Dati!N125+Dati!Y125+Dati!V125+Dati!W125)/Dati!$D$238)))),0)</f>
        <v>0.9761939366447728</v>
      </c>
    </row>
    <row r="12" spans="1:13" ht="41.25" customHeight="1">
      <c r="A12" s="158" t="s">
        <v>777</v>
      </c>
      <c r="B12" s="76" t="s">
        <v>801</v>
      </c>
      <c r="C12" s="58" t="s">
        <v>460</v>
      </c>
      <c r="D12" s="52">
        <f>IF(Dati!$D$228&gt;0,(Dati!D126/Dati!$D$228),0)</f>
        <v>0.03756236503597326</v>
      </c>
      <c r="E12" s="52">
        <f>IF(Dati!$E$228&gt;0,(Dati!E126/Dati!$E$228),0)</f>
        <v>0.09416747687757394</v>
      </c>
      <c r="F12" s="52">
        <f>IF((Dati!D126-Dati!E126+Dati!K126)&gt;0,((Dati!J126)/(Dati!D126-Dati!E126+Dati!K126)),0)</f>
        <v>1</v>
      </c>
      <c r="G12" s="52">
        <f>IF(Dati!$F$228&gt;0,(Dati!F126/Dati!$F$228),0)</f>
        <v>0.039893784860021896</v>
      </c>
      <c r="H12" s="52">
        <f>IF(Dati!$G$228&gt;0,(Dati!G126/Dati!$G$228),0)</f>
        <v>0.11966162938185228</v>
      </c>
      <c r="I12" s="52">
        <f>IF(Dati!$H$228&gt;0,(Dati!H126/Dati!$H$228),0)</f>
        <v>0.05020551821630639</v>
      </c>
      <c r="J12" s="52">
        <f>IF(Dati!$I$228&gt;0,(Dati!I126/Dati!$I$228),0)</f>
        <v>0.11966158458918584</v>
      </c>
      <c r="K12" s="52">
        <f>IF((IF(Dati!$D$238=3,(Dati!$L$228+Dati!$M$228+Dati!$N$228+Dati!$O$228+Dati!$Y$228+Dati!$Q$228),(Dati!$N$228+Dati!$O$228+Dati!$Y$228+Dati!$Q$228))/Dati!$D$238)&gt;0,((IF(Dati!$D$238=3,(Dati!L126+Dati!M126+Dati!N126+Dati!O126+Dati!Y126+Dati!Q126),(Dati!N126+Dati!O126+Dati!Y126+Dati!Q126))/Dati!$D$238)/(IF(Dati!$D$238=3,(Dati!$L$228+Dati!$M$228+Dati!$N$228+Dati!$O$228+Dati!$Y$228+Dati!$Q$228),(Dati!$N$228+Dati!$O$228+Dati!$Y$228+Dati!$Q$228))/Dati!$D$238)),0)</f>
        <v>0.0345993437646396</v>
      </c>
      <c r="L12" s="81">
        <f>IF((IF(Dati!$D$238=3,(Dati!$M$228+Dati!$O$228+Dati!$Q$228),(Dati!$O$228+Dati!$Q$228)/Dati!$D$238))&gt;0,((IF(Dati!$D$238=3,(Dati!M126+Dati!O126+Dati!Q126),(Dati!O126+Dati!Q126)/Dati!$D$238)/(IF(Dati!$D$238=3,(Dati!$M$228+Dati!$O$228+Dati!$Q$228),(Dati!$O$228+Dati!$Q$228)/Dati!$D$238)))),0)</f>
        <v>0.00985689201065943</v>
      </c>
      <c r="M12" s="81">
        <f>IF((IF(Dati!$D$238=3,(Dati!L126+Dati!N126+Dati!Y126+Dati!U126+Dati!V126+Dati!W126),(Dati!N126+Dati!Y126+Dati!V126+Dati!W126)/Dati!$D$238))&gt;0,((IF(Dati!$D$238=3,(Dati!R126+Dati!S126+Dati!AC126),(Dati!S126+Dati!AC126)/Dati!$D$238)/(IF(Dati!$D$238=3,(Dati!L126+Dati!N126+Dati!Y126+Dati!U126+Dati!V126+Dati!W126),(Dati!N126+Dati!Y126+Dati!V126+Dati!W126)/Dati!$D$238)))),0)</f>
        <v>0.9696923300260908</v>
      </c>
    </row>
    <row r="13" spans="1:13" ht="29.25" customHeight="1">
      <c r="A13" s="158" t="s">
        <v>777</v>
      </c>
      <c r="B13" s="77" t="s">
        <v>781</v>
      </c>
      <c r="C13" s="58" t="s">
        <v>92</v>
      </c>
      <c r="D13" s="52">
        <f>IF(Dati!$D$228&gt;0,(Dati!D127/Dati!$D$228),0)</f>
        <v>0.006805473983705311</v>
      </c>
      <c r="E13" s="52">
        <f>IF(Dati!$E$228&gt;0,(Dati!E127/Dati!$E$228),0)</f>
        <v>0.18667823282858595</v>
      </c>
      <c r="F13" s="52">
        <f>IF((Dati!D127-Dati!E127+Dati!K127)&gt;0,((Dati!J127)/(Dati!D127-Dati!E127+Dati!K127)),0)</f>
        <v>0.9999999999999998</v>
      </c>
      <c r="G13" s="52">
        <f>IF(Dati!$F$228&gt;0,(Dati!F127/Dati!$F$228),0)</f>
        <v>0.006958284223642707</v>
      </c>
      <c r="H13" s="52">
        <f>IF(Dati!$G$228&gt;0,(Dati!G127/Dati!$G$228),0)</f>
        <v>0.035304597226101145</v>
      </c>
      <c r="I13" s="52">
        <f>IF(Dati!$H$228&gt;0,(Dati!H127/Dati!$H$228),0)</f>
        <v>0.007715231144480896</v>
      </c>
      <c r="J13" s="52">
        <f>IF(Dati!$I$228&gt;0,(Dati!I127/Dati!$I$228),0)</f>
        <v>0.0353045840106113</v>
      </c>
      <c r="K13" s="52">
        <f>IF((IF(Dati!$D$238=3,(Dati!$L$228+Dati!$M$228+Dati!$N$228+Dati!$O$228+Dati!$Y$228+Dati!$Q$228),(Dati!$N$228+Dati!$O$228+Dati!$Y$228+Dati!$Q$228))/Dati!$D$238)&gt;0,((IF(Dati!$D$238=3,(Dati!L127+Dati!M127+Dati!N127+Dati!O127+Dati!Y127+Dati!Q127),(Dati!N127+Dati!O127+Dati!Y127+Dati!Q127))/Dati!$D$238)/(IF(Dati!$D$238=3,(Dati!$L$228+Dati!$M$228+Dati!$N$228+Dati!$O$228+Dati!$Y$228+Dati!$Q$228),(Dati!$N$228+Dati!$O$228+Dati!$Y$228+Dati!$Q$228))/Dati!$D$238)),0)</f>
        <v>0.010017954538257394</v>
      </c>
      <c r="L13" s="81">
        <f>IF((IF(Dati!$D$238=3,(Dati!$M$228+Dati!$O$228+Dati!$Q$228),(Dati!$O$228+Dati!$Q$228)/Dati!$D$238))&gt;0,((IF(Dati!$D$238=3,(Dati!M127+Dati!O127+Dati!Q127),(Dati!O127+Dati!Q127)/Dati!$D$238)/(IF(Dati!$D$238=3,(Dati!$M$228+Dati!$O$228+Dati!$Q$228),(Dati!$O$228+Dati!$Q$228)/Dati!$D$238)))),0)</f>
        <v>0.0053500454384723855</v>
      </c>
      <c r="M13" s="81">
        <f>IF((IF(Dati!$D$238=3,(Dati!L127+Dati!N127+Dati!Y127+Dati!U127+Dati!V127+Dati!W127),(Dati!N127+Dati!Y127+Dati!V127+Dati!W127)/Dati!$D$238))&gt;0,((IF(Dati!$D$238=3,(Dati!R127+Dati!S127+Dati!AC127),(Dati!S127+Dati!AC127)/Dati!$D$238)/(IF(Dati!$D$238=3,(Dati!L127+Dati!N127+Dati!Y127+Dati!U127+Dati!V127+Dati!W127),(Dati!N127+Dati!Y127+Dati!V127+Dati!W127)/Dati!$D$238)))),0)</f>
        <v>0.7596970657853771</v>
      </c>
    </row>
    <row r="14" spans="1:13" ht="27.75" customHeight="1">
      <c r="A14" s="158" t="s">
        <v>777</v>
      </c>
      <c r="B14" s="76" t="s">
        <v>793</v>
      </c>
      <c r="C14" s="58" t="s">
        <v>99</v>
      </c>
      <c r="D14" s="52">
        <f>IF(Dati!$D$228&gt;0,(Dati!D128/Dati!$D$228),0)</f>
        <v>0.009799248469184754</v>
      </c>
      <c r="E14" s="52">
        <f>IF(Dati!$E$228&gt;0,(Dati!E128/Dati!$E$228),0)</f>
        <v>0.019909187938531067</v>
      </c>
      <c r="F14" s="52">
        <f>IF((Dati!D128-Dati!E128+Dati!K128)&gt;0,((Dati!J128)/(Dati!D128-Dati!E128+Dati!K128)),0)</f>
        <v>1</v>
      </c>
      <c r="G14" s="52">
        <f>IF(Dati!$F$228&gt;0,(Dati!F128/Dati!$F$228),0)</f>
        <v>0.010132697068017806</v>
      </c>
      <c r="H14" s="52">
        <f>IF(Dati!$G$228&gt;0,(Dati!G128/Dati!$G$228),0)</f>
        <v>0.019976313212790454</v>
      </c>
      <c r="I14" s="52">
        <f>IF(Dati!$H$228&gt;0,(Dati!H128/Dati!$H$228),0)</f>
        <v>0.012844709323229871</v>
      </c>
      <c r="J14" s="52">
        <f>IF(Dati!$I$228&gt;0,(Dati!I128/Dati!$I$228),0)</f>
        <v>0.01997630573510242</v>
      </c>
      <c r="K14" s="52">
        <f>IF((IF(Dati!$D$238=3,(Dati!$L$228+Dati!$M$228+Dati!$N$228+Dati!$O$228+Dati!$Y$228+Dati!$Q$228),(Dati!$N$228+Dati!$O$228+Dati!$Y$228+Dati!$Q$228))/Dati!$D$238)&gt;0,((IF(Dati!$D$238=3,(Dati!L128+Dati!M128+Dati!N128+Dati!O128+Dati!Y128+Dati!Q128),(Dati!N128+Dati!O128+Dati!Y128+Dati!Q128))/Dati!$D$238)/(IF(Dati!$D$238=3,(Dati!$L$228+Dati!$M$228+Dati!$N$228+Dati!$O$228+Dati!$Y$228+Dati!$Q$228),(Dati!$N$228+Dati!$O$228+Dati!$Y$228+Dati!$Q$228))/Dati!$D$238)),0)</f>
        <v>0.013974342123065541</v>
      </c>
      <c r="L14" s="81">
        <f>IF((IF(Dati!$D$238=3,(Dati!$M$228+Dati!$O$228+Dati!$Q$228),(Dati!$O$228+Dati!$Q$228)/Dati!$D$238))&gt;0,((IF(Dati!$D$238=3,(Dati!M128+Dati!O128+Dati!Q128),(Dati!O128+Dati!Q128)/Dati!$D$238)/(IF(Dati!$D$238=3,(Dati!$M$228+Dati!$O$228+Dati!$Q$228),(Dati!$O$228+Dati!$Q$228)/Dati!$D$238)))),0)</f>
        <v>0.01655050596935294</v>
      </c>
      <c r="M14" s="81">
        <f>IF((IF(Dati!$D$238=3,(Dati!L128+Dati!N128+Dati!Y128+Dati!U128+Dati!V128+Dati!W128),(Dati!N128+Dati!Y128+Dati!V128+Dati!W128)/Dati!$D$238))&gt;0,((IF(Dati!$D$238=3,(Dati!R128+Dati!S128+Dati!AC128),(Dati!S128+Dati!AC128)/Dati!$D$238)/(IF(Dati!$D$238=3,(Dati!L128+Dati!N128+Dati!Y128+Dati!U128+Dati!V128+Dati!W128),(Dati!N128+Dati!Y128+Dati!V128+Dati!W128)/Dati!$D$238)))),0)</f>
        <v>0.9092233662255192</v>
      </c>
    </row>
    <row r="15" spans="1:13" ht="12" customHeight="1">
      <c r="A15" s="158" t="s">
        <v>777</v>
      </c>
      <c r="B15" s="74" t="s">
        <v>783</v>
      </c>
      <c r="C15" s="75" t="s">
        <v>466</v>
      </c>
      <c r="D15" s="52">
        <f>IF(Dati!$D$228&gt;0,(Dati!D129/Dati!$D$228),0)</f>
        <v>0.013794534392772492</v>
      </c>
      <c r="E15" s="52">
        <f>IF(Dati!$E$228&gt;0,(Dati!E129/Dati!$E$228),0)</f>
        <v>0.10679372014273503</v>
      </c>
      <c r="F15" s="52">
        <f>IF((Dati!D129-Dati!E129+Dati!K129)&gt;0,((Dati!J129)/(Dati!D129-Dati!E129+Dati!K129)),0)</f>
        <v>0.9999999999999998</v>
      </c>
      <c r="G15" s="52">
        <f>IF(Dati!$F$228&gt;0,(Dati!F129/Dati!$F$228),0)</f>
        <v>0.015023606208432346</v>
      </c>
      <c r="H15" s="52">
        <f>IF(Dati!$G$228&gt;0,(Dati!G129/Dati!$G$228),0)</f>
        <v>0.1332080446599015</v>
      </c>
      <c r="I15" s="52">
        <f>IF(Dati!$H$228&gt;0,(Dati!H129/Dati!$H$228),0)</f>
        <v>0.01905766650958672</v>
      </c>
      <c r="J15" s="52">
        <f>IF(Dati!$I$228&gt;0,(Dati!I129/Dati!$I$228),0)</f>
        <v>0.13320799479643614</v>
      </c>
      <c r="K15" s="52">
        <f>IF((IF(Dati!$D$238=3,(Dati!$L$228+Dati!$M$228+Dati!$N$228+Dati!$O$228+Dati!$Y$228+Dati!$Q$228),(Dati!$N$228+Dati!$O$228+Dati!$Y$228+Dati!$Q$228))/Dati!$D$238)&gt;0,((IF(Dati!$D$238=3,(Dati!L129+Dati!M129+Dati!N129+Dati!O129+Dati!Y129+Dati!Q129),(Dati!N129+Dati!O129+Dati!Y129+Dati!Q129))/Dati!$D$238)/(IF(Dati!$D$238=3,(Dati!$L$228+Dati!$M$228+Dati!$N$228+Dati!$O$228+Dati!$Y$228+Dati!$Q$228),(Dati!$N$228+Dati!$O$228+Dati!$Y$228+Dati!$Q$228))/Dati!$D$238)),0)</f>
        <v>0.028523013193296885</v>
      </c>
      <c r="L15" s="81">
        <f>IF((IF(Dati!$D$238=3,(Dati!$M$228+Dati!$O$228+Dati!$Q$228),(Dati!$O$228+Dati!$Q$228)/Dati!$D$238))&gt;0,((IF(Dati!$D$238=3,(Dati!M129+Dati!O129+Dati!Q129),(Dati!O129+Dati!Q129)/Dati!$D$238)/(IF(Dati!$D$238=3,(Dati!$M$228+Dati!$O$228+Dati!$Q$228),(Dati!$O$228+Dati!$Q$228)/Dati!$D$238)))),0)</f>
        <v>0.0175235544699094</v>
      </c>
      <c r="M15" s="81">
        <f>IF((IF(Dati!$D$238=3,(Dati!L129+Dati!N129+Dati!Y129+Dati!U129+Dati!V129+Dati!W129),(Dati!N129+Dati!Y129+Dati!V129+Dati!W129)/Dati!$D$238))&gt;0,((IF(Dati!$D$238=3,(Dati!R129+Dati!S129+Dati!AC129),(Dati!S129+Dati!AC129)/Dati!$D$238)/(IF(Dati!$D$238=3,(Dati!L129+Dati!N129+Dati!Y129+Dati!U129+Dati!V129+Dati!W129),(Dati!N129+Dati!Y129+Dati!V129+Dati!W129)/Dati!$D$238)))),0)</f>
        <v>0.8027741148028151</v>
      </c>
    </row>
    <row r="16" spans="1:13" ht="37.5" customHeight="1">
      <c r="A16" s="158" t="s">
        <v>777</v>
      </c>
      <c r="B16" s="76" t="s">
        <v>794</v>
      </c>
      <c r="C16" s="58" t="s">
        <v>468</v>
      </c>
      <c r="D16" s="52">
        <f>IF(Dati!$D$228&gt;0,(Dati!D130/Dati!$D$228),0)</f>
        <v>0.009169760423123629</v>
      </c>
      <c r="E16" s="52">
        <f>IF(Dati!$E$228&gt;0,(Dati!E130/Dati!$E$228),0)</f>
        <v>0.042496106790289485</v>
      </c>
      <c r="F16" s="52">
        <f>IF((Dati!D130-Dati!E130+Dati!K130)&gt;0,((Dati!J130)/(Dati!D130-Dati!E130+Dati!K130)),0)</f>
        <v>1</v>
      </c>
      <c r="G16" s="52">
        <f>IF(Dati!$F$228&gt;0,(Dati!F130/Dati!$F$228),0)</f>
        <v>0.007024009246338959</v>
      </c>
      <c r="H16" s="52">
        <f>IF(Dati!$G$228&gt;0,(Dati!G130/Dati!$G$228),0)</f>
        <v>0.05162359100010981</v>
      </c>
      <c r="I16" s="52">
        <f>IF(Dati!$H$228&gt;0,(Dati!H130/Dati!$H$228),0)</f>
        <v>0.008905083419366801</v>
      </c>
      <c r="J16" s="52">
        <f>IF(Dati!$I$228&gt;0,(Dati!I130/Dati!$I$228),0)</f>
        <v>0.05162357167596803</v>
      </c>
      <c r="K16" s="52">
        <f>IF((IF(Dati!$D$238=3,(Dati!$L$228+Dati!$M$228+Dati!$N$228+Dati!$O$228+Dati!$Y$228+Dati!$Q$228),(Dati!$N$228+Dati!$O$228+Dati!$Y$228+Dati!$Q$228))/Dati!$D$238)&gt;0,((IF(Dati!$D$238=3,(Dati!L130+Dati!M130+Dati!N130+Dati!O130+Dati!Y130+Dati!Q130),(Dati!N130+Dati!O130+Dati!Y130+Dati!Q130))/Dati!$D$238)/(IF(Dati!$D$238=3,(Dati!$L$228+Dati!$M$228+Dati!$N$228+Dati!$O$228+Dati!$Y$228+Dati!$Q$228),(Dati!$N$228+Dati!$O$228+Dati!$Y$228+Dati!$Q$228))/Dati!$D$238)),0)</f>
        <v>0.010124494403381248</v>
      </c>
      <c r="L16" s="81">
        <f>IF((IF(Dati!$D$238=3,(Dati!$M$228+Dati!$O$228+Dati!$Q$228),(Dati!$O$228+Dati!$Q$228)/Dati!$D$238))&gt;0,((IF(Dati!$D$238=3,(Dati!M130+Dati!O130+Dati!Q130),(Dati!O130+Dati!Q130)/Dati!$D$238)/(IF(Dati!$D$238=3,(Dati!$M$228+Dati!$O$228+Dati!$Q$228),(Dati!$O$228+Dati!$Q$228)/Dati!$D$238)))),0)</f>
        <v>0.0068522060735684434</v>
      </c>
      <c r="M16" s="81">
        <f>IF((IF(Dati!$D$238=3,(Dati!L130+Dati!N130+Dati!Y130+Dati!U130+Dati!V130+Dati!W130),(Dati!N130+Dati!Y130+Dati!V130+Dati!W130)/Dati!$D$238))&gt;0,((IF(Dati!$D$238=3,(Dati!R130+Dati!S130+Dati!AC130),(Dati!S130+Dati!AC130)/Dati!$D$238)/(IF(Dati!$D$238=3,(Dati!L130+Dati!N130+Dati!Y130+Dati!U130+Dati!V130+Dati!W130),(Dati!N130+Dati!Y130+Dati!V130+Dati!W130)/Dati!$D$238)))),0)</f>
        <v>0.9758161982396713</v>
      </c>
    </row>
    <row r="17" spans="1:13" ht="12" customHeight="1">
      <c r="A17" s="158" t="s">
        <v>777</v>
      </c>
      <c r="B17" s="74" t="s">
        <v>785</v>
      </c>
      <c r="C17" s="75" t="s">
        <v>470</v>
      </c>
      <c r="D17" s="52">
        <f>IF(Dati!$D$228&gt;0,(Dati!D131/Dati!$D$228),0)</f>
        <v>0.0016962717802539748</v>
      </c>
      <c r="E17" s="52">
        <f>IF(Dati!$E$228&gt;0,(Dati!E131/Dati!$E$228),0)</f>
        <v>0.012661615406992618</v>
      </c>
      <c r="F17" s="52">
        <f>IF((Dati!D131-Dati!E131+Dati!K131)&gt;0,((Dati!J131)/(Dati!D131-Dati!E131+Dati!K131)),0)</f>
        <v>1</v>
      </c>
      <c r="G17" s="52">
        <f>IF(Dati!$F$228&gt;0,(Dati!F131/Dati!$F$228),0)</f>
        <v>0.0017055237829440154</v>
      </c>
      <c r="H17" s="52">
        <f>IF(Dati!$G$228&gt;0,(Dati!G131/Dati!$G$228),0)</f>
        <v>0.015909240872261532</v>
      </c>
      <c r="I17" s="52">
        <f>IF(Dati!$H$228&gt;0,(Dati!H131/Dati!$H$228),0)</f>
        <v>0.0021639273326875333</v>
      </c>
      <c r="J17" s="52">
        <f>IF(Dati!$I$228&gt;0,(Dati!I131/Dati!$I$228),0)</f>
        <v>0.015909234916991463</v>
      </c>
      <c r="K17" s="52">
        <f>IF((IF(Dati!$D$238=3,(Dati!$L$228+Dati!$M$228+Dati!$N$228+Dati!$O$228+Dati!$Y$228+Dati!$Q$228),(Dati!$N$228+Dati!$O$228+Dati!$Y$228+Dati!$Q$228))/Dati!$D$238)&gt;0,((IF(Dati!$D$238=3,(Dati!L131+Dati!M131+Dati!N131+Dati!O131+Dati!Y131+Dati!Q131),(Dati!N131+Dati!O131+Dati!Y131+Dati!Q131))/Dati!$D$238)/(IF(Dati!$D$238=3,(Dati!$L$228+Dati!$M$228+Dati!$N$228+Dati!$O$228+Dati!$Y$228+Dati!$Q$228),(Dati!$N$228+Dati!$O$228+Dati!$Y$228+Dati!$Q$228))/Dati!$D$238)),0)</f>
        <v>0.00925169295712384</v>
      </c>
      <c r="L17" s="81">
        <f>IF((IF(Dati!$D$238=3,(Dati!$M$228+Dati!$O$228+Dati!$Q$228),(Dati!$O$228+Dati!$Q$228)/Dati!$D$238))&gt;0,((IF(Dati!$D$238=3,(Dati!M131+Dati!O131+Dati!Q131),(Dati!O131+Dati!Q131)/Dati!$D$238)/(IF(Dati!$D$238=3,(Dati!$M$228+Dati!$O$228+Dati!$Q$228),(Dati!$O$228+Dati!$Q$228)/Dati!$D$238)))),0)</f>
        <v>0.0011581625350974255</v>
      </c>
      <c r="M17" s="81">
        <f>IF((IF(Dati!$D$238=3,(Dati!L131+Dati!N131+Dati!Y131+Dati!U131+Dati!V131+Dati!W131),(Dati!N131+Dati!Y131+Dati!V131+Dati!W131)/Dati!$D$238))&gt;0,((IF(Dati!$D$238=3,(Dati!R131+Dati!S131+Dati!AC131),(Dati!S131+Dati!AC131)/Dati!$D$238)/(IF(Dati!$D$238=3,(Dati!L131+Dati!N131+Dati!Y131+Dati!U131+Dati!V131+Dati!W131),(Dati!N131+Dati!Y131+Dati!V131+Dati!W131)/Dati!$D$238)))),0)</f>
        <v>0.9732654188141944</v>
      </c>
    </row>
    <row r="18" spans="1:13" ht="24.75" customHeight="1">
      <c r="A18" s="158" t="s">
        <v>777</v>
      </c>
      <c r="B18" s="76" t="s">
        <v>109</v>
      </c>
      <c r="C18" s="58" t="s">
        <v>100</v>
      </c>
      <c r="D18" s="52">
        <f>IF(Dati!$D$228&gt;0,(Dati!D132/Dati!$D$228),0)</f>
        <v>0</v>
      </c>
      <c r="E18" s="52">
        <f>IF(Dati!$E$228&gt;0,(Dati!E132/Dati!$E$228),0)</f>
        <v>0</v>
      </c>
      <c r="F18" s="52">
        <f>IF((Dati!D132-Dati!E132+Dati!K132)&gt;0,((Dati!J132)/(Dati!D132-Dati!E132+Dati!K132)),0)</f>
        <v>0</v>
      </c>
      <c r="G18" s="52">
        <f>IF(Dati!$F$228&gt;0,(Dati!F132/Dati!$F$228),0)</f>
        <v>0</v>
      </c>
      <c r="H18" s="52">
        <f>IF(Dati!$G$228&gt;0,(Dati!G132/Dati!$G$228),0)</f>
        <v>0</v>
      </c>
      <c r="I18" s="52">
        <f>IF(Dati!$H$228&gt;0,(Dati!H132/Dati!$H$228),0)</f>
        <v>0</v>
      </c>
      <c r="J18" s="52">
        <f>IF(Dati!$I$228&gt;0,(Dati!I132/Dati!$I$228),0)</f>
        <v>0</v>
      </c>
      <c r="K18" s="52">
        <f>IF((IF(Dati!$D$238=3,(Dati!$L$228+Dati!$M$228+Dati!$N$228+Dati!$O$228+Dati!$Y$228+Dati!$Q$228),(Dati!$N$228+Dati!$O$228+Dati!$Y$228+Dati!$Q$228))/Dati!$D$238)&gt;0,((IF(Dati!$D$238=3,(Dati!L132+Dati!M132+Dati!N132+Dati!O132+Dati!Y132+Dati!Q132),(Dati!N132+Dati!O132+Dati!Y132+Dati!Q132))/Dati!$D$238)/(IF(Dati!$D$238=3,(Dati!$L$228+Dati!$M$228+Dati!$N$228+Dati!$O$228+Dati!$Y$228+Dati!$Q$228),(Dati!$N$228+Dati!$O$228+Dati!$Y$228+Dati!$Q$228))/Dati!$D$238)),0)</f>
        <v>0</v>
      </c>
      <c r="L18" s="81">
        <f>IF((IF(Dati!$D$238=3,(Dati!$M$228+Dati!$O$228+Dati!$Q$228),(Dati!$O$228+Dati!$Q$228)/Dati!$D$238))&gt;0,((IF(Dati!$D$238=3,(Dati!M132+Dati!O132+Dati!Q132),(Dati!O132+Dati!Q132)/Dati!$D$238)/(IF(Dati!$D$238=3,(Dati!$M$228+Dati!$O$228+Dati!$Q$228),(Dati!$O$228+Dati!$Q$228)/Dati!$D$238)))),0)</f>
        <v>0</v>
      </c>
      <c r="M18" s="81">
        <f>IF((IF(Dati!$D$238=3,(Dati!L132+Dati!N132+Dati!Y132+Dati!U132+Dati!V132+Dati!W132),(Dati!N132+Dati!Y132+Dati!V132+Dati!W132)/Dati!$D$238))&gt;0,((IF(Dati!$D$238=3,(Dati!R132+Dati!S132+Dati!AC132),(Dati!S132+Dati!AC132)/Dati!$D$238)/(IF(Dati!$D$238=3,(Dati!L132+Dati!N132+Dati!Y132+Dati!U132+Dati!V132+Dati!W132),(Dati!N132+Dati!Y132+Dati!V132+Dati!W132)/Dati!$D$238)))),0)</f>
        <v>0</v>
      </c>
    </row>
    <row r="19" spans="1:13" ht="12" customHeight="1">
      <c r="A19" s="158" t="s">
        <v>777</v>
      </c>
      <c r="B19" s="78" t="s">
        <v>110</v>
      </c>
      <c r="C19" s="75" t="s">
        <v>474</v>
      </c>
      <c r="D19" s="52">
        <f>IF(Dati!$D$228&gt;0,(Dati!D133/Dati!$D$228),0)</f>
        <v>0.0018775700010809058</v>
      </c>
      <c r="E19" s="52">
        <f>IF(Dati!$E$228&gt;0,(Dati!E133/Dati!$E$228),0)</f>
        <v>0.020409985734968782</v>
      </c>
      <c r="F19" s="52">
        <f>IF((Dati!D133-Dati!E133+Dati!K133)&gt;0,((Dati!J133)/(Dati!D133-Dati!E133+Dati!K133)),0)</f>
        <v>1</v>
      </c>
      <c r="G19" s="52">
        <f>IF(Dati!$F$228&gt;0,(Dati!F133/Dati!$F$228),0)</f>
        <v>0.002057439868431452</v>
      </c>
      <c r="H19" s="52">
        <f>IF(Dati!$G$228&gt;0,(Dati!G133/Dati!$G$228),0)</f>
        <v>0.02573048127708964</v>
      </c>
      <c r="I19" s="52">
        <f>IF(Dati!$H$228&gt;0,(Dati!H133/Dati!$H$228),0)</f>
        <v>0.002609426651015244</v>
      </c>
      <c r="J19" s="52">
        <f>IF(Dati!$I$228&gt;0,(Dati!I133/Dati!$I$228),0)</f>
        <v>0.025730471645456915</v>
      </c>
      <c r="K19" s="52">
        <f>IF((IF(Dati!$D$238=3,(Dati!$L$228+Dati!$M$228+Dati!$N$228+Dati!$O$228+Dati!$Y$228+Dati!$Q$228),(Dati!$N$228+Dati!$O$228+Dati!$Y$228+Dati!$Q$228))/Dati!$D$238)&gt;0,((IF(Dati!$D$238=3,(Dati!L133+Dati!M133+Dati!N133+Dati!O133+Dati!Y133+Dati!Q133),(Dati!N133+Dati!O133+Dati!Y133+Dati!Q133))/Dati!$D$238)/(IF(Dati!$D$238=3,(Dati!$L$228+Dati!$M$228+Dati!$N$228+Dati!$O$228+Dati!$Y$228+Dati!$Q$228),(Dati!$N$228+Dati!$O$228+Dati!$Y$228+Dati!$Q$228))/Dati!$D$238)),0)</f>
        <v>0.004696932176605885</v>
      </c>
      <c r="L19" s="81">
        <f>IF((IF(Dati!$D$238=3,(Dati!$M$228+Dati!$O$228+Dati!$Q$228),(Dati!$O$228+Dati!$Q$228)/Dati!$D$238))&gt;0,((IF(Dati!$D$238=3,(Dati!M133+Dati!O133+Dati!Q133),(Dati!O133+Dati!Q133)/Dati!$D$238)/(IF(Dati!$D$238=3,(Dati!$M$228+Dati!$O$228+Dati!$Q$228),(Dati!$O$228+Dati!$Q$228)/Dati!$D$238)))),0)</f>
        <v>0.00471612738600548</v>
      </c>
      <c r="M19" s="81">
        <f>IF((IF(Dati!$D$238=3,(Dati!L133+Dati!N133+Dati!Y133+Dati!U133+Dati!V133+Dati!W133),(Dati!N133+Dati!Y133+Dati!V133+Dati!W133)/Dati!$D$238))&gt;0,((IF(Dati!$D$238=3,(Dati!R133+Dati!S133+Dati!AC133),(Dati!S133+Dati!AC133)/Dati!$D$238)/(IF(Dati!$D$238=3,(Dati!L133+Dati!N133+Dati!Y133+Dati!U133+Dati!V133+Dati!W133),(Dati!N133+Dati!Y133+Dati!V133+Dati!W133)/Dati!$D$238)))),0)</f>
        <v>0.9906640180854026</v>
      </c>
    </row>
    <row r="20" spans="1:13" ht="12" customHeight="1">
      <c r="A20" s="158" t="s">
        <v>777</v>
      </c>
      <c r="B20" s="78">
        <v>11</v>
      </c>
      <c r="C20" s="75" t="s">
        <v>476</v>
      </c>
      <c r="D20" s="52">
        <f>IF(Dati!$D$228&gt;0,(Dati!D134/Dati!$D$228),0)</f>
        <v>0.019869749700112346</v>
      </c>
      <c r="E20" s="52">
        <f>IF(Dati!$E$228&gt;0,(Dati!E134/Dati!$E$228),0)</f>
        <v>0.017907114314939465</v>
      </c>
      <c r="F20" s="52">
        <f>IF((Dati!D134-Dati!E134+Dati!K134)&gt;0,((Dati!J134)/(Dati!D134-Dati!E134+Dati!K134)),0)</f>
        <v>0.9672826365594593</v>
      </c>
      <c r="G20" s="52">
        <f>IF(Dati!$F$228&gt;0,(Dati!F134/Dati!$F$228),0)</f>
        <v>0.01527994959762078</v>
      </c>
      <c r="H20" s="52">
        <f>IF(Dati!$G$228&gt;0,(Dati!G134/Dati!$G$228),0)</f>
        <v>0.02313104643731235</v>
      </c>
      <c r="I20" s="52">
        <f>IF(Dati!$H$228&gt;0,(Dati!H134/Dati!$H$228),0)</f>
        <v>0.019417470071798948</v>
      </c>
      <c r="J20" s="52">
        <f>IF(Dati!$I$228&gt;0,(Dati!I134/Dati!$I$228),0)</f>
        <v>0.023131037778720175</v>
      </c>
      <c r="K20" s="52">
        <f>IF((IF(Dati!$D$238=3,(Dati!$L$228+Dati!$M$228+Dati!$N$228+Dati!$O$228+Dati!$Y$228+Dati!$Q$228),(Dati!$N$228+Dati!$O$228+Dati!$Y$228+Dati!$Q$228))/Dati!$D$238)&gt;0,((IF(Dati!$D$238=3,(Dati!L134+Dati!M134+Dati!N134+Dati!O134+Dati!Y134+Dati!Q134),(Dati!N134+Dati!O134+Dati!Y134+Dati!Q134))/Dati!$D$238)/(IF(Dati!$D$238=3,(Dati!$L$228+Dati!$M$228+Dati!$N$228+Dati!$O$228+Dati!$Y$228+Dati!$Q$228),(Dati!$N$228+Dati!$O$228+Dati!$Y$228+Dati!$Q$228))/Dati!$D$238)),0)</f>
        <v>0.03372935825103254</v>
      </c>
      <c r="L20" s="81">
        <f>IF((IF(Dati!$D$238=3,(Dati!$M$228+Dati!$O$228+Dati!$Q$228),(Dati!$O$228+Dati!$Q$228)/Dati!$D$238))&gt;0,((IF(Dati!$D$238=3,(Dati!M134+Dati!O134+Dati!Q134),(Dati!O134+Dati!Q134)/Dati!$D$238)/(IF(Dati!$D$238=3,(Dati!$M$228+Dati!$O$228+Dati!$Q$228),(Dati!$O$228+Dati!$Q$228)/Dati!$D$238)))),0)</f>
        <v>0.01432849179056125</v>
      </c>
      <c r="M20" s="81">
        <f>IF((IF(Dati!$D$238=3,(Dati!L134+Dati!N134+Dati!Y134+Dati!U134+Dati!V134+Dati!W134),(Dati!N134+Dati!Y134+Dati!V134+Dati!W134)/Dati!$D$238))&gt;0,((IF(Dati!$D$238=3,(Dati!R134+Dati!S134+Dati!AC134),(Dati!S134+Dati!AC134)/Dati!$D$238)/(IF(Dati!$D$238=3,(Dati!L134+Dati!N134+Dati!Y134+Dati!U134+Dati!V134+Dati!W134),(Dati!N134+Dati!Y134+Dati!V134+Dati!W134)/Dati!$D$238)))),0)</f>
        <v>0.9000582496514128</v>
      </c>
    </row>
    <row r="21" spans="1:13" ht="44.25" customHeight="1">
      <c r="A21" s="158" t="s">
        <v>777</v>
      </c>
      <c r="B21" s="168" t="s">
        <v>102</v>
      </c>
      <c r="C21" s="169"/>
      <c r="D21" s="52">
        <f>IF(Dati!$D$228&gt;0,(Dati!D135/Dati!$D$228),0)</f>
        <v>0.11656293245250686</v>
      </c>
      <c r="E21" s="52">
        <f>IF(Dati!$E$228&gt;0,(Dati!E135/Dati!$E$228),0)</f>
        <v>0.6063978822249061</v>
      </c>
      <c r="F21" s="52">
        <f>IF((Dati!D135-Dati!E135+Dati!K135)&gt;0,((Dati!J135)/(Dati!D135-Dati!E135+Dati!K135)),0)</f>
        <v>0.9938636540289398</v>
      </c>
      <c r="G21" s="52">
        <f>IF(Dati!$F$228&gt;0,(Dati!F135/Dati!$F$228),0)</f>
        <v>0.11521478175807362</v>
      </c>
      <c r="H21" s="52">
        <f>IF(Dati!$G$228&gt;0,(Dati!G135/Dati!$G$228),0)</f>
        <v>0.554440425259604</v>
      </c>
      <c r="I21" s="52">
        <f>IF(Dati!$H$228&gt;0,(Dati!H135/Dati!$H$228),0)</f>
        <v>0.14423455711092148</v>
      </c>
      <c r="J21" s="52">
        <f>IF(Dati!$I$228&gt;0,(Dati!I135/Dati!$I$228),0)</f>
        <v>0.5544405920449095</v>
      </c>
      <c r="K21" s="52">
        <f>IF((IF(Dati!$D$238=3,(Dati!$L$228+Dati!$M$228+Dati!$N$228+Dati!$O$228+Dati!$Y$228+Dati!$Q$228),(Dati!$N$228+Dati!$O$228+Dati!$Y$228+Dati!$Q$228))/Dati!$D$238)&gt;0,((IF(Dati!$D$238=3,(Dati!L135+Dati!M135+Dati!N135+Dati!O135+Dati!Y135+Dati!Q135),(Dati!N135+Dati!O135+Dati!Y135+Dati!Q135))/Dati!$D$238)/(IF(Dati!$D$238=3,(Dati!$L$228+Dati!$M$228+Dati!$N$228+Dati!$O$228+Dati!$Y$228+Dati!$Q$228),(Dati!$N$228+Dati!$O$228+Dati!$Y$228+Dati!$Q$228))/Dati!$D$238)),0)</f>
        <v>0.17146640222537246</v>
      </c>
      <c r="L21" s="81">
        <f>IF((IF(Dati!$D$238=3,(Dati!$M$228+Dati!$O$228+Dati!$Q$228),(Dati!$O$228+Dati!$Q$228)/Dati!$D$238))&gt;0,((IF(Dati!$D$238=3,(Dati!M135+Dati!O135+Dati!Q135),(Dati!O135+Dati!Q135)/Dati!$D$238)/(IF(Dati!$D$238=3,(Dati!$M$228+Dati!$O$228+Dati!$Q$228),(Dati!$O$228+Dati!$Q$228)/Dati!$D$238)))),0)</f>
        <v>0.09326024916669001</v>
      </c>
      <c r="M21" s="81">
        <f>IF((IF(Dati!$D$238=3,(Dati!L135+Dati!N135+Dati!Y135+Dati!U135+Dati!V135+Dati!W135),(Dati!N135+Dati!Y135+Dati!V135+Dati!W135)/Dati!$D$238))&gt;0,((IF(Dati!$D$238=3,(Dati!R135+Dati!S135+Dati!AC135),(Dati!S135+Dati!AC135)/Dati!$D$238)/(IF(Dati!$D$238=3,(Dati!L135+Dati!N135+Dati!Y135+Dati!U135+Dati!V135+Dati!W135),(Dati!N135+Dati!Y135+Dati!V135+Dati!W135)/Dati!$D$238)))),0)</f>
        <v>0.9021220719802483</v>
      </c>
    </row>
    <row r="22" spans="1:13" ht="12.75" customHeight="1">
      <c r="A22" s="166" t="s">
        <v>103</v>
      </c>
      <c r="B22" s="74" t="s">
        <v>778</v>
      </c>
      <c r="C22" s="75" t="s">
        <v>480</v>
      </c>
      <c r="D22" s="52">
        <f>IF(Dati!$D$228&gt;0,(Dati!D136/Dati!$D$228),0)</f>
        <v>3.309443704865746E-06</v>
      </c>
      <c r="E22" s="52">
        <f>IF(Dati!$E$228&gt;0,(Dati!E136/Dati!$E$228),0)</f>
        <v>0</v>
      </c>
      <c r="F22" s="52">
        <f>IF((Dati!D136-Dati!E136+Dati!K136)&gt;0,((Dati!J136)/(Dati!D136-Dati!E136+Dati!K136)),0)</f>
        <v>1</v>
      </c>
      <c r="G22" s="52">
        <f>IF(Dati!$F$228&gt;0,(Dati!F136/Dati!$F$228),0)</f>
        <v>3.4663268127341082E-06</v>
      </c>
      <c r="H22" s="52">
        <f>IF(Dati!$G$228&gt;0,(Dati!G136/Dati!$G$228),0)</f>
        <v>0</v>
      </c>
      <c r="I22" s="52">
        <f>IF(Dati!$H$228&gt;0,(Dati!H136/Dati!$H$228),0)</f>
        <v>4.4053286098616814E-06</v>
      </c>
      <c r="J22" s="52">
        <f>IF(Dati!$I$228&gt;0,(Dati!I136/Dati!$I$228),0)</f>
        <v>0</v>
      </c>
      <c r="K22" s="52">
        <f>IF((IF(Dati!$D$238=3,(Dati!$L$228+Dati!$M$228+Dati!$N$228+Dati!$O$228+Dati!$Y$228+Dati!$Q$228),(Dati!$N$228+Dati!$O$228+Dati!$Y$228+Dati!$Q$228))/Dati!$D$238)&gt;0,((IF(Dati!$D$238=3,(Dati!L136+Dati!M136+Dati!N136+Dati!O136+Dati!Y136+Dati!Q136),(Dati!N136+Dati!O136+Dati!Y136+Dati!Q136))/Dati!$D$238)/(IF(Dati!$D$238=3,(Dati!$L$228+Dati!$M$228+Dati!$N$228+Dati!$O$228+Dati!$Y$228+Dati!$Q$228),(Dati!$N$228+Dati!$O$228+Dati!$Y$228+Dati!$Q$228))/Dati!$D$238)),0)</f>
        <v>2.375327301325431E-05</v>
      </c>
      <c r="L22" s="81">
        <f>IF((IF(Dati!$D$238=3,(Dati!$M$228+Dati!$O$228+Dati!$Q$228),(Dati!$O$228+Dati!$Q$228)/Dati!$D$238))&gt;0,((IF(Dati!$D$238=3,(Dati!M136+Dati!O136+Dati!Q136),(Dati!O136+Dati!Q136)/Dati!$D$238)/(IF(Dati!$D$238=3,(Dati!$M$228+Dati!$O$228+Dati!$Q$228),(Dati!$O$228+Dati!$Q$228)/Dati!$D$238)))),0)</f>
        <v>0</v>
      </c>
      <c r="M22" s="81">
        <f>IF((IF(Dati!$D$238=3,(Dati!L136+Dati!N136+Dati!Y136+Dati!U136+Dati!V136+Dati!W136),(Dati!N136+Dati!Y136+Dati!V136+Dati!W136)/Dati!$D$238))&gt;0,((IF(Dati!$D$238=3,(Dati!R136+Dati!S136+Dati!AC136),(Dati!S136+Dati!AC136)/Dati!$D$238)/(IF(Dati!$D$238=3,(Dati!L136+Dati!N136+Dati!Y136+Dati!U136+Dati!V136+Dati!W136),(Dati!N136+Dati!Y136+Dati!V136+Dati!W136)/Dati!$D$238)))),0)</f>
        <v>1.0000000000000002</v>
      </c>
    </row>
    <row r="23" spans="1:13" ht="28.5" customHeight="1">
      <c r="A23" s="167" t="s">
        <v>787</v>
      </c>
      <c r="B23" s="74" t="s">
        <v>779</v>
      </c>
      <c r="C23" s="58" t="s">
        <v>482</v>
      </c>
      <c r="D23" s="52">
        <f>IF(Dati!$D$228&gt;0,(Dati!D137/Dati!$D$228),0)</f>
        <v>0</v>
      </c>
      <c r="E23" s="52">
        <f>IF(Dati!$E$228&gt;0,(Dati!E137/Dati!$E$228),0)</f>
        <v>0</v>
      </c>
      <c r="F23" s="52">
        <f>IF((Dati!D137-Dati!E137+Dati!K137)&gt;0,((Dati!J137)/(Dati!D137-Dati!E137+Dati!K137)),0)</f>
        <v>0</v>
      </c>
      <c r="G23" s="52">
        <f>IF(Dati!$F$228&gt;0,(Dati!F137/Dati!$F$228),0)</f>
        <v>0</v>
      </c>
      <c r="H23" s="52">
        <f>IF(Dati!$G$228&gt;0,(Dati!G137/Dati!$G$228),0)</f>
        <v>0</v>
      </c>
      <c r="I23" s="52">
        <f>IF(Dati!$H$228&gt;0,(Dati!H137/Dati!$H$228),0)</f>
        <v>0</v>
      </c>
      <c r="J23" s="52">
        <f>IF(Dati!$I$228&gt;0,(Dati!I137/Dati!$I$228),0)</f>
        <v>0</v>
      </c>
      <c r="K23" s="52">
        <f>IF((IF(Dati!$D$238=3,(Dati!$L$228+Dati!$M$228+Dati!$N$228+Dati!$O$228+Dati!$Y$228+Dati!$Q$228),(Dati!$N$228+Dati!$O$228+Dati!$Y$228+Dati!$Q$228))/Dati!$D$238)&gt;0,((IF(Dati!$D$238=3,(Dati!L137+Dati!M137+Dati!N137+Dati!O137+Dati!Y137+Dati!Q137),(Dati!N137+Dati!O137+Dati!Y137+Dati!Q137))/Dati!$D$238)/(IF(Dati!$D$238=3,(Dati!$L$228+Dati!$M$228+Dati!$N$228+Dati!$O$228+Dati!$Y$228+Dati!$Q$228),(Dati!$N$228+Dati!$O$228+Dati!$Y$228+Dati!$Q$228))/Dati!$D$238)),0)</f>
        <v>0</v>
      </c>
      <c r="L23" s="81">
        <f>IF((IF(Dati!$D$238=3,(Dati!$M$228+Dati!$O$228+Dati!$Q$228),(Dati!$O$228+Dati!$Q$228)/Dati!$D$238))&gt;0,((IF(Dati!$D$238=3,(Dati!M137+Dati!O137+Dati!Q137),(Dati!O137+Dati!Q137)/Dati!$D$238)/(IF(Dati!$D$238=3,(Dati!$M$228+Dati!$O$228+Dati!$Q$228),(Dati!$O$228+Dati!$Q$228)/Dati!$D$238)))),0)</f>
        <v>0</v>
      </c>
      <c r="M23" s="81">
        <f>IF((IF(Dati!$D$238=3,(Dati!L137+Dati!N137+Dati!Y137+Dati!U137+Dati!V137+Dati!W137),(Dati!N137+Dati!Y137+Dati!V137+Dati!W137)/Dati!$D$238))&gt;0,((IF(Dati!$D$238=3,(Dati!R137+Dati!S137+Dati!AC137),(Dati!S137+Dati!AC137)/Dati!$D$238)/(IF(Dati!$D$238=3,(Dati!L137+Dati!N137+Dati!Y137+Dati!U137+Dati!V137+Dati!W137),(Dati!N137+Dati!Y137+Dati!V137+Dati!W137)/Dati!$D$238)))),0)</f>
        <v>0</v>
      </c>
    </row>
    <row r="24" spans="1:13" ht="22.5" customHeight="1">
      <c r="A24" s="167" t="s">
        <v>787</v>
      </c>
      <c r="B24" s="165" t="s">
        <v>788</v>
      </c>
      <c r="C24" s="165"/>
      <c r="D24" s="52">
        <f>IF(Dati!$D$228&gt;0,(Dati!D138/Dati!$D$228),0)</f>
        <v>3.309443704865746E-06</v>
      </c>
      <c r="E24" s="52">
        <f>IF(Dati!$E$228&gt;0,(Dati!E138/Dati!$E$228),0)</f>
        <v>0</v>
      </c>
      <c r="F24" s="52">
        <f>IF((Dati!D138-Dati!E138+Dati!K138)&gt;0,((Dati!J138)/(Dati!D138-Dati!E138+Dati!K138)),0)</f>
        <v>1</v>
      </c>
      <c r="G24" s="52">
        <f>IF(Dati!$F$228&gt;0,(Dati!F138/Dati!$F$228),0)</f>
        <v>3.4663268127341082E-06</v>
      </c>
      <c r="H24" s="52">
        <f>IF(Dati!$G$228&gt;0,(Dati!G138/Dati!$G$228),0)</f>
        <v>0</v>
      </c>
      <c r="I24" s="52">
        <f>IF(Dati!$H$228&gt;0,(Dati!H138/Dati!$H$228),0)</f>
        <v>4.4053286098616814E-06</v>
      </c>
      <c r="J24" s="52">
        <f>IF(Dati!$I$228&gt;0,(Dati!I138/Dati!$I$228),0)</f>
        <v>0</v>
      </c>
      <c r="K24" s="52">
        <f>IF((IF(Dati!$D$238=3,(Dati!$L$228+Dati!$M$228+Dati!$N$228+Dati!$O$228+Dati!$Y$228+Dati!$Q$228),(Dati!$N$228+Dati!$O$228+Dati!$Y$228+Dati!$Q$228))/Dati!$D$238)&gt;0,((IF(Dati!$D$238=3,(Dati!L138+Dati!M138+Dati!N138+Dati!O138+Dati!Y138+Dati!Q138),(Dati!N138+Dati!O138+Dati!Y138+Dati!Q138))/Dati!$D$238)/(IF(Dati!$D$238=3,(Dati!$L$228+Dati!$M$228+Dati!$N$228+Dati!$O$228+Dati!$Y$228+Dati!$Q$228),(Dati!$N$228+Dati!$O$228+Dati!$Y$228+Dati!$Q$228))/Dati!$D$238)),0)</f>
        <v>2.375327301325431E-05</v>
      </c>
      <c r="L24" s="81">
        <f>IF((IF(Dati!$D$238=3,(Dati!$M$228+Dati!$O$228+Dati!$Q$228),(Dati!$O$228+Dati!$Q$228)/Dati!$D$238))&gt;0,((IF(Dati!$D$238=3,(Dati!M138+Dati!O138+Dati!Q138),(Dati!O138+Dati!Q138)/Dati!$D$238)/(IF(Dati!$D$238=3,(Dati!$M$228+Dati!$O$228+Dati!$Q$228),(Dati!$O$228+Dati!$Q$228)/Dati!$D$238)))),0)</f>
        <v>0</v>
      </c>
      <c r="M24" s="81">
        <f>IF((IF(Dati!$D$238=3,(Dati!L138+Dati!N138+Dati!Y138+Dati!U138+Dati!V138+Dati!W138),(Dati!N138+Dati!Y138+Dati!V138+Dati!W138)/Dati!$D$238))&gt;0,((IF(Dati!$D$238=3,(Dati!R138+Dati!S138+Dati!AC138),(Dati!S138+Dati!AC138)/Dati!$D$238)/(IF(Dati!$D$238=3,(Dati!L138+Dati!N138+Dati!Y138+Dati!U138+Dati!V138+Dati!W138),(Dati!N138+Dati!Y138+Dati!V138+Dati!W138)/Dati!$D$238)))),0)</f>
        <v>1.0000000000000002</v>
      </c>
    </row>
    <row r="25" spans="1:13" ht="16.5" customHeight="1">
      <c r="A25" s="160" t="s">
        <v>104</v>
      </c>
      <c r="B25" s="74" t="s">
        <v>778</v>
      </c>
      <c r="C25" s="75" t="s">
        <v>486</v>
      </c>
      <c r="D25" s="52">
        <f>IF(Dati!$D$228&gt;0,(Dati!D139/Dati!$D$228),0)</f>
        <v>0.018325996115079887</v>
      </c>
      <c r="E25" s="52">
        <f>IF(Dati!$E$228&gt;0,(Dati!E139/Dati!$E$228),0)</f>
        <v>0.12325769785261989</v>
      </c>
      <c r="F25" s="52">
        <f>IF((Dati!D139-Dati!E139+Dati!K139)&gt;0,((Dati!J139)/(Dati!D139-Dati!E139+Dati!K139)),0)</f>
        <v>1</v>
      </c>
      <c r="G25" s="52">
        <f>IF(Dati!$F$228&gt;0,(Dati!F139/Dati!$F$228),0)</f>
        <v>0.019750743539089045</v>
      </c>
      <c r="H25" s="52">
        <f>IF(Dati!$G$228&gt;0,(Dati!G139/Dati!$G$228),0)</f>
        <v>0.10948457331880078</v>
      </c>
      <c r="I25" s="52">
        <f>IF(Dati!$H$228&gt;0,(Dati!H139/Dati!$H$228),0)</f>
        <v>0.024717774779384676</v>
      </c>
      <c r="J25" s="52">
        <f>IF(Dati!$I$228&gt;0,(Dati!I139/Dati!$I$228),0)</f>
        <v>0.10948453233568867</v>
      </c>
      <c r="K25" s="52">
        <f>IF((IF(Dati!$D$238=3,(Dati!$L$228+Dati!$M$228+Dati!$N$228+Dati!$O$228+Dati!$Y$228+Dati!$Q$228),(Dati!$N$228+Dati!$O$228+Dati!$Y$228+Dati!$Q$228))/Dati!$D$238)&gt;0,((IF(Dati!$D$238=3,(Dati!L139+Dati!M139+Dati!N139+Dati!O139+Dati!Y139+Dati!Q139),(Dati!N139+Dati!O139+Dati!Y139+Dati!Q139))/Dati!$D$238)/(IF(Dati!$D$238=3,(Dati!$L$228+Dati!$M$228+Dati!$N$228+Dati!$O$228+Dati!$Y$228+Dati!$Q$228),(Dati!$N$228+Dati!$O$228+Dati!$Y$228+Dati!$Q$228))/Dati!$D$238)),0)</f>
        <v>0.03054449346525639</v>
      </c>
      <c r="L25" s="81">
        <f>IF((IF(Dati!$D$238=3,(Dati!$M$228+Dati!$O$228+Dati!$Q$228),(Dati!$O$228+Dati!$Q$228)/Dati!$D$238))&gt;0,((IF(Dati!$D$238=3,(Dati!M139+Dati!O139+Dati!Q139),(Dati!O139+Dati!Q139)/Dati!$D$238)/(IF(Dati!$D$238=3,(Dati!$M$228+Dati!$O$228+Dati!$Q$228),(Dati!$O$228+Dati!$Q$228)/Dati!$D$238)))),0)</f>
        <v>0.023707952346414974</v>
      </c>
      <c r="M25" s="81">
        <f>IF((IF(Dati!$D$238=3,(Dati!L139+Dati!N139+Dati!Y139+Dati!U139+Dati!V139+Dati!W139),(Dati!N139+Dati!Y139+Dati!V139+Dati!W139)/Dati!$D$238))&gt;0,((IF(Dati!$D$238=3,(Dati!R139+Dati!S139+Dati!AC139),(Dati!S139+Dati!AC139)/Dati!$D$238)/(IF(Dati!$D$238=3,(Dati!L139+Dati!N139+Dati!Y139+Dati!U139+Dati!V139+Dati!W139),(Dati!N139+Dati!Y139+Dati!V139+Dati!W139)/Dati!$D$238)))),0)</f>
        <v>0.9137161235488309</v>
      </c>
    </row>
    <row r="26" spans="1:13" ht="24.75" customHeight="1">
      <c r="A26" s="158" t="s">
        <v>789</v>
      </c>
      <c r="B26" s="77" t="s">
        <v>790</v>
      </c>
      <c r="C26" s="58" t="s">
        <v>105</v>
      </c>
      <c r="D26" s="52">
        <f>IF(Dati!$D$228&gt;0,(Dati!D140/Dati!$D$228),0)</f>
        <v>0</v>
      </c>
      <c r="E26" s="52">
        <f>IF(Dati!$E$228&gt;0,(Dati!E140/Dati!$E$228),0)</f>
        <v>0</v>
      </c>
      <c r="F26" s="52">
        <f>IF((Dati!D140-Dati!E140+Dati!K140)&gt;0,((Dati!J140)/(Dati!D140-Dati!E140+Dati!K140)),0)</f>
        <v>0</v>
      </c>
      <c r="G26" s="52">
        <f>IF(Dati!$F$228&gt;0,(Dati!F140/Dati!$F$228),0)</f>
        <v>0</v>
      </c>
      <c r="H26" s="52">
        <f>IF(Dati!$G$228&gt;0,(Dati!G140/Dati!$G$228),0)</f>
        <v>0</v>
      </c>
      <c r="I26" s="52">
        <f>IF(Dati!$H$228&gt;0,(Dati!H140/Dati!$H$228),0)</f>
        <v>0</v>
      </c>
      <c r="J26" s="52">
        <f>IF(Dati!$I$228&gt;0,(Dati!I140/Dati!$I$228),0)</f>
        <v>0</v>
      </c>
      <c r="K26" s="52">
        <f>IF((IF(Dati!$D$238=3,(Dati!$L$228+Dati!$M$228+Dati!$N$228+Dati!$O$228+Dati!$Y$228+Dati!$Q$228),(Dati!$N$228+Dati!$O$228+Dati!$Y$228+Dati!$Q$228))/Dati!$D$238)&gt;0,((IF(Dati!$D$238=3,(Dati!L140+Dati!M140+Dati!N140+Dati!O140+Dati!Y140+Dati!Q140),(Dati!N140+Dati!O140+Dati!Y140+Dati!Q140))/Dati!$D$238)/(IF(Dati!$D$238=3,(Dati!$L$228+Dati!$M$228+Dati!$N$228+Dati!$O$228+Dati!$Y$228+Dati!$Q$228),(Dati!$N$228+Dati!$O$228+Dati!$Y$228+Dati!$Q$228))/Dati!$D$238)),0)</f>
        <v>0</v>
      </c>
      <c r="L26" s="81">
        <f>IF((IF(Dati!$D$238=3,(Dati!$M$228+Dati!$O$228+Dati!$Q$228),(Dati!$O$228+Dati!$Q$228)/Dati!$D$238))&gt;0,((IF(Dati!$D$238=3,(Dati!M140+Dati!O140+Dati!Q140),(Dati!O140+Dati!Q140)/Dati!$D$238)/(IF(Dati!$D$238=3,(Dati!$M$228+Dati!$O$228+Dati!$Q$228),(Dati!$O$228+Dati!$Q$228)/Dati!$D$238)))),0)</f>
        <v>0</v>
      </c>
      <c r="M26" s="81">
        <f>IF((IF(Dati!$D$238=3,(Dati!L140+Dati!N140+Dati!Y140+Dati!U140+Dati!V140+Dati!W140),(Dati!N140+Dati!Y140+Dati!V140+Dati!W140)/Dati!$D$238))&gt;0,((IF(Dati!$D$238=3,(Dati!R140+Dati!S140+Dati!AC140),(Dati!S140+Dati!AC140)/Dati!$D$238)/(IF(Dati!$D$238=3,(Dati!L140+Dati!N140+Dati!Y140+Dati!U140+Dati!V140+Dati!W140),(Dati!N140+Dati!Y140+Dati!V140+Dati!W140)/Dati!$D$238)))),0)</f>
        <v>0</v>
      </c>
    </row>
    <row r="27" spans="1:13" ht="33.75" customHeight="1">
      <c r="A27" s="158" t="s">
        <v>789</v>
      </c>
      <c r="B27" s="168" t="s">
        <v>106</v>
      </c>
      <c r="C27" s="169"/>
      <c r="D27" s="52">
        <f>IF(Dati!$D$228&gt;0,(Dati!D141/Dati!$D$228),0)</f>
        <v>0.018325996115079887</v>
      </c>
      <c r="E27" s="52">
        <f>IF(Dati!$E$228&gt;0,(Dati!E141/Dati!$E$228),0)</f>
        <v>0.12325769785261989</v>
      </c>
      <c r="F27" s="52">
        <f>IF((Dati!D141-Dati!E141+Dati!K141)&gt;0,((Dati!J141)/(Dati!D141-Dati!E141+Dati!K141)),0)</f>
        <v>1</v>
      </c>
      <c r="G27" s="52">
        <f>IF(Dati!$F$228&gt;0,(Dati!F141/Dati!$F$228),0)</f>
        <v>0.019750743539089045</v>
      </c>
      <c r="H27" s="52">
        <f>IF(Dati!$G$228&gt;0,(Dati!G141/Dati!$G$228),0)</f>
        <v>0.10948457331880078</v>
      </c>
      <c r="I27" s="52">
        <f>IF(Dati!$H$228&gt;0,(Dati!H141/Dati!$H$228),0)</f>
        <v>0.024717774779384676</v>
      </c>
      <c r="J27" s="52">
        <f>IF(Dati!$I$228&gt;0,(Dati!I141/Dati!$I$228),0)</f>
        <v>0.10948453233568867</v>
      </c>
      <c r="K27" s="52">
        <f>IF((IF(Dati!$D$238=3,(Dati!$L$228+Dati!$M$228+Dati!$N$228+Dati!$O$228+Dati!$Y$228+Dati!$Q$228),(Dati!$N$228+Dati!$O$228+Dati!$Y$228+Dati!$Q$228))/Dati!$D$238)&gt;0,((IF(Dati!$D$238=3,(Dati!L141+Dati!M141+Dati!N141+Dati!O141+Dati!Y141+Dati!Q141),(Dati!N141+Dati!O141+Dati!Y141+Dati!Q141))/Dati!$D$238)/(IF(Dati!$D$238=3,(Dati!$L$228+Dati!$M$228+Dati!$N$228+Dati!$O$228+Dati!$Y$228+Dati!$Q$228),(Dati!$N$228+Dati!$O$228+Dati!$Y$228+Dati!$Q$228))/Dati!$D$238)),0)</f>
        <v>0.03054449346525639</v>
      </c>
      <c r="L27" s="81">
        <f>IF((IF(Dati!$D$238=3,(Dati!$M$228+Dati!$O$228+Dati!$Q$228),(Dati!$O$228+Dati!$Q$228)/Dati!$D$238))&gt;0,((IF(Dati!$D$238=3,(Dati!M141+Dati!O141+Dati!Q141),(Dati!O141+Dati!Q141)/Dati!$D$238)/(IF(Dati!$D$238=3,(Dati!$M$228+Dati!$O$228+Dati!$Q$228),(Dati!$O$228+Dati!$Q$228)/Dati!$D$238)))),0)</f>
        <v>0.023707952346414974</v>
      </c>
      <c r="M27" s="81">
        <f>IF((IF(Dati!$D$238=3,(Dati!L141+Dati!N141+Dati!Y141+Dati!U141+Dati!V141+Dati!W141),(Dati!N141+Dati!Y141+Dati!V141+Dati!W141)/Dati!$D$238))&gt;0,((IF(Dati!$D$238=3,(Dati!R141+Dati!S141+Dati!AC141),(Dati!S141+Dati!AC141)/Dati!$D$238)/(IF(Dati!$D$238=3,(Dati!L141+Dati!N141+Dati!Y141+Dati!U141+Dati!V141+Dati!W141),(Dati!N141+Dati!Y141+Dati!V141+Dati!W141)/Dati!$D$238)))),0)</f>
        <v>0.9137161235488309</v>
      </c>
    </row>
    <row r="28" spans="1:13" ht="15.75" customHeight="1">
      <c r="A28" s="160" t="s">
        <v>111</v>
      </c>
      <c r="B28" s="74" t="s">
        <v>778</v>
      </c>
      <c r="C28" s="75" t="s">
        <v>492</v>
      </c>
      <c r="D28" s="52">
        <f>IF(Dati!$D$228&gt;0,(Dati!D142/Dati!$D$228),0)</f>
        <v>0.011852703958019795</v>
      </c>
      <c r="E28" s="52">
        <f>IF(Dati!$E$228&gt;0,(Dati!E142/Dati!$E$228),0)</f>
        <v>0</v>
      </c>
      <c r="F28" s="52">
        <f>IF((Dati!D142-Dati!E142+Dati!K142)&gt;0,((Dati!J142)/(Dati!D142-Dati!E142+Dati!K142)),0)</f>
        <v>1</v>
      </c>
      <c r="G28" s="52">
        <f>IF(Dati!$F$228&gt;0,(Dati!F142/Dati!$F$228),0)</f>
        <v>0.004463370080447374</v>
      </c>
      <c r="H28" s="52">
        <f>IF(Dati!$G$228&gt;0,(Dati!G142/Dati!$G$228),0)</f>
        <v>0</v>
      </c>
      <c r="I28" s="52">
        <f>IF(Dati!$H$228&gt;0,(Dati!H142/Dati!$H$228),0)</f>
        <v>0.004859387298122995</v>
      </c>
      <c r="J28" s="52">
        <f>IF(Dati!$I$228&gt;0,(Dati!I142/Dati!$I$228),0)</f>
        <v>0</v>
      </c>
      <c r="K28" s="52">
        <f>IF((IF(Dati!$D$238=3,(Dati!$L$228+Dati!$M$228+Dati!$N$228+Dati!$O$228+Dati!$Y$228+Dati!$Q$228),(Dati!$N$228+Dati!$O$228+Dati!$Y$228+Dati!$Q$228))/Dati!$D$238)&gt;0,((IF(Dati!$D$238=3,(Dati!L142+Dati!M142+Dati!N142+Dati!O142+Dati!Y142+Dati!Q142),(Dati!N142+Dati!O142+Dati!Y142+Dati!Q142))/Dati!$D$238)/(IF(Dati!$D$238=3,(Dati!$L$228+Dati!$M$228+Dati!$N$228+Dati!$O$228+Dati!$Y$228+Dati!$Q$228),(Dati!$N$228+Dati!$O$228+Dati!$Y$228+Dati!$Q$228))/Dati!$D$238)),0)</f>
        <v>0.008268434752484718</v>
      </c>
      <c r="L28" s="81">
        <f>IF((IF(Dati!$D$238=3,(Dati!$M$228+Dati!$O$228+Dati!$Q$228),(Dati!$O$228+Dati!$Q$228)/Dati!$D$238))&gt;0,((IF(Dati!$D$238=3,(Dati!M142+Dati!O142+Dati!Q142),(Dati!O142+Dati!Q142)/Dati!$D$238)/(IF(Dati!$D$238=3,(Dati!$M$228+Dati!$O$228+Dati!$Q$228),(Dati!$O$228+Dati!$Q$228)/Dati!$D$238)))),0)</f>
        <v>0.005209527126772899</v>
      </c>
      <c r="M28" s="81">
        <f>IF((IF(Dati!$D$238=3,(Dati!L142+Dati!N142+Dati!Y142+Dati!U142+Dati!V142+Dati!W142),(Dati!N142+Dati!Y142+Dati!V142+Dati!W142)/Dati!$D$238))&gt;0,((IF(Dati!$D$238=3,(Dati!R142+Dati!S142+Dati!AC142),(Dati!S142+Dati!AC142)/Dati!$D$238)/(IF(Dati!$D$238=3,(Dati!L142+Dati!N142+Dati!Y142+Dati!U142+Dati!V142+Dati!W142),(Dati!N142+Dati!Y142+Dati!V142+Dati!W142)/Dati!$D$238)))),0)</f>
        <v>0.8827627619216529</v>
      </c>
    </row>
    <row r="29" spans="1:13" ht="24.75" customHeight="1">
      <c r="A29" s="158" t="s">
        <v>791</v>
      </c>
      <c r="B29" s="77" t="s">
        <v>790</v>
      </c>
      <c r="C29" s="58" t="s">
        <v>112</v>
      </c>
      <c r="D29" s="52">
        <f>IF(Dati!$D$228&gt;0,(Dati!D143/Dati!$D$228),0)</f>
        <v>0.04426418669126822</v>
      </c>
      <c r="E29" s="52">
        <f>IF(Dati!$E$228&gt;0,(Dati!E143/Dati!$E$228),0)</f>
        <v>0</v>
      </c>
      <c r="F29" s="52">
        <f>IF((Dati!D143-Dati!E143+Dati!K143)&gt;0,((Dati!J143)/(Dati!D143-Dati!E143+Dati!K143)),0)</f>
        <v>1</v>
      </c>
      <c r="G29" s="52">
        <f>IF(Dati!$F$228&gt;0,(Dati!F143/Dati!$F$228),0)</f>
        <v>0.006482675587739383</v>
      </c>
      <c r="H29" s="52">
        <f>IF(Dati!$G$228&gt;0,(Dati!G143/Dati!$G$228),0)</f>
        <v>0</v>
      </c>
      <c r="I29" s="52">
        <f>IF(Dati!$H$228&gt;0,(Dati!H143/Dati!$H$228),0)</f>
        <v>0.00823778369841298</v>
      </c>
      <c r="J29" s="52">
        <f>IF(Dati!$I$228&gt;0,(Dati!I143/Dati!$I$228),0)</f>
        <v>0</v>
      </c>
      <c r="K29" s="52">
        <f>IF((IF(Dati!$D$238=3,(Dati!$L$228+Dati!$M$228+Dati!$N$228+Dati!$O$228+Dati!$Y$228+Dati!$Q$228),(Dati!$N$228+Dati!$O$228+Dati!$Y$228+Dati!$Q$228))/Dati!$D$238)&gt;0,((IF(Dati!$D$238=3,(Dati!L143+Dati!M143+Dati!N143+Dati!O143+Dati!Y143+Dati!Q143),(Dati!N143+Dati!O143+Dati!Y143+Dati!Q143))/Dati!$D$238)/(IF(Dati!$D$238=3,(Dati!$L$228+Dati!$M$228+Dati!$N$228+Dati!$O$228+Dati!$Y$228+Dati!$Q$228),(Dati!$N$228+Dati!$O$228+Dati!$Y$228+Dati!$Q$228))/Dati!$D$238)),0)</f>
        <v>0.01795427123501565</v>
      </c>
      <c r="L29" s="81">
        <f>IF((IF(Dati!$D$238=3,(Dati!$M$228+Dati!$O$228+Dati!$Q$228),(Dati!$O$228+Dati!$Q$228)/Dati!$D$238))&gt;0,((IF(Dati!$D$238=3,(Dati!M143+Dati!O143+Dati!Q143),(Dati!O143+Dati!Q143)/Dati!$D$238)/(IF(Dati!$D$238=3,(Dati!$M$228+Dati!$O$228+Dati!$Q$228),(Dati!$O$228+Dati!$Q$228)/Dati!$D$238)))),0)</f>
        <v>0.01822967114176262</v>
      </c>
      <c r="M29" s="81">
        <f>IF((IF(Dati!$D$238=3,(Dati!L143+Dati!N143+Dati!Y143+Dati!U143+Dati!V143+Dati!W143),(Dati!N143+Dati!Y143+Dati!V143+Dati!W143)/Dati!$D$238))&gt;0,((IF(Dati!$D$238=3,(Dati!R143+Dati!S143+Dati!AC143),(Dati!S143+Dati!AC143)/Dati!$D$238)/(IF(Dati!$D$238=3,(Dati!L143+Dati!N143+Dati!Y143+Dati!U143+Dati!V143+Dati!W143),(Dati!N143+Dati!Y143+Dati!V143+Dati!W143)/Dati!$D$238)))),0)</f>
        <v>0.8133114555804879</v>
      </c>
    </row>
    <row r="30" spans="1:13" ht="16.5" customHeight="1">
      <c r="A30" s="158" t="s">
        <v>791</v>
      </c>
      <c r="B30" s="74" t="s">
        <v>792</v>
      </c>
      <c r="C30" s="75" t="s">
        <v>495</v>
      </c>
      <c r="D30" s="52">
        <f>IF(Dati!$D$228&gt;0,(Dati!D144/Dati!$D$228),0)</f>
        <v>0.00041368046310821826</v>
      </c>
      <c r="E30" s="52">
        <f>IF(Dati!$E$228&gt;0,(Dati!E144/Dati!$E$228),0)</f>
        <v>0</v>
      </c>
      <c r="F30" s="52">
        <f>IF((Dati!D144-Dati!E144+Dati!K144)&gt;0,((Dati!J144)/(Dati!D144-Dati!E144+Dati!K144)),0)</f>
        <v>1</v>
      </c>
      <c r="G30" s="52">
        <f>IF(Dati!$F$228&gt;0,(Dati!F144/Dati!$F$228),0)</f>
        <v>0.00043329085159176354</v>
      </c>
      <c r="H30" s="52">
        <f>IF(Dati!$G$228&gt;0,(Dati!G144/Dati!$G$228),0)</f>
        <v>0</v>
      </c>
      <c r="I30" s="52">
        <f>IF(Dati!$H$228&gt;0,(Dati!H144/Dati!$H$228),0)</f>
        <v>0.0005506660762327101</v>
      </c>
      <c r="J30" s="52">
        <f>IF(Dati!$I$228&gt;0,(Dati!I144/Dati!$I$228),0)</f>
        <v>0</v>
      </c>
      <c r="K30" s="52">
        <f>IF((IF(Dati!$D$238=3,(Dati!$L$228+Dati!$M$228+Dati!$N$228+Dati!$O$228+Dati!$Y$228+Dati!$Q$228),(Dati!$N$228+Dati!$O$228+Dati!$Y$228+Dati!$Q$228))/Dati!$D$238)&gt;0,((IF(Dati!$D$238=3,(Dati!L144+Dati!M144+Dati!N144+Dati!O144+Dati!Y144+Dati!Q144),(Dati!N144+Dati!O144+Dati!Y144+Dati!Q144))/Dati!$D$238)/(IF(Dati!$D$238=3,(Dati!$L$228+Dati!$M$228+Dati!$N$228+Dati!$O$228+Dati!$Y$228+Dati!$Q$228),(Dati!$N$228+Dati!$O$228+Dati!$Y$228+Dati!$Q$228))/Dati!$D$238)),0)</f>
        <v>0.0004974885594234554</v>
      </c>
      <c r="L30" s="81">
        <f>IF((IF(Dati!$D$238=3,(Dati!$M$228+Dati!$O$228+Dati!$Q$228),(Dati!$O$228+Dati!$Q$228)/Dati!$D$238))&gt;0,((IF(Dati!$D$238=3,(Dati!M144+Dati!O144+Dati!Q144),(Dati!O144+Dati!Q144)/Dati!$D$238)/(IF(Dati!$D$238=3,(Dati!$M$228+Dati!$O$228+Dati!$Q$228),(Dati!$O$228+Dati!$Q$228)/Dati!$D$238)))),0)</f>
        <v>0</v>
      </c>
      <c r="M30" s="81">
        <f>IF((IF(Dati!$D$238=3,(Dati!L144+Dati!N144+Dati!Y144+Dati!U144+Dati!V144+Dati!W144),(Dati!N144+Dati!Y144+Dati!V144+Dati!W144)/Dati!$D$238))&gt;0,((IF(Dati!$D$238=3,(Dati!R144+Dati!S144+Dati!AC144),(Dati!S144+Dati!AC144)/Dati!$D$238)/(IF(Dati!$D$238=3,(Dati!L144+Dati!N144+Dati!Y144+Dati!U144+Dati!V144+Dati!W144),(Dati!N144+Dati!Y144+Dati!V144+Dati!W144)/Dati!$D$238)))),0)</f>
        <v>0.6923076923076923</v>
      </c>
    </row>
    <row r="31" spans="1:13" ht="13.5" customHeight="1">
      <c r="A31" s="158" t="s">
        <v>791</v>
      </c>
      <c r="B31" s="74" t="s">
        <v>793</v>
      </c>
      <c r="C31" s="75" t="s">
        <v>497</v>
      </c>
      <c r="D31" s="52">
        <f>IF(Dati!$D$228&gt;0,(Dati!D145/Dati!$D$228),0)</f>
        <v>0</v>
      </c>
      <c r="E31" s="52">
        <f>IF(Dati!$E$228&gt;0,(Dati!E145/Dati!$E$228),0)</f>
        <v>0</v>
      </c>
      <c r="F31" s="52">
        <f>IF((Dati!D145-Dati!E145+Dati!K145)&gt;0,((Dati!J145)/(Dati!D145-Dati!E145+Dati!K145)),0)</f>
        <v>0</v>
      </c>
      <c r="G31" s="52">
        <f>IF(Dati!$F$228&gt;0,(Dati!F145/Dati!$F$228),0)</f>
        <v>0</v>
      </c>
      <c r="H31" s="52">
        <f>IF(Dati!$G$228&gt;0,(Dati!G145/Dati!$G$228),0)</f>
        <v>0</v>
      </c>
      <c r="I31" s="52">
        <f>IF(Dati!$H$228&gt;0,(Dati!H145/Dati!$H$228),0)</f>
        <v>0</v>
      </c>
      <c r="J31" s="52">
        <f>IF(Dati!$I$228&gt;0,(Dati!I145/Dati!$I$228),0)</f>
        <v>0</v>
      </c>
      <c r="K31" s="52">
        <f>IF((IF(Dati!$D$238=3,(Dati!$L$228+Dati!$M$228+Dati!$N$228+Dati!$O$228+Dati!$Y$228+Dati!$Q$228),(Dati!$N$228+Dati!$O$228+Dati!$Y$228+Dati!$Q$228))/Dati!$D$238)&gt;0,((IF(Dati!$D$238=3,(Dati!L145+Dati!M145+Dati!N145+Dati!O145+Dati!Y145+Dati!Q145),(Dati!N145+Dati!O145+Dati!Y145+Dati!Q145))/Dati!$D$238)/(IF(Dati!$D$238=3,(Dati!$L$228+Dati!$M$228+Dati!$N$228+Dati!$O$228+Dati!$Y$228+Dati!$Q$228),(Dati!$N$228+Dati!$O$228+Dati!$Y$228+Dati!$Q$228))/Dati!$D$238)),0)</f>
        <v>0</v>
      </c>
      <c r="L31" s="81">
        <f>IF((IF(Dati!$D$238=3,(Dati!$M$228+Dati!$O$228+Dati!$Q$228),(Dati!$O$228+Dati!$Q$228)/Dati!$D$238))&gt;0,((IF(Dati!$D$238=3,(Dati!M145+Dati!O145+Dati!Q145),(Dati!O145+Dati!Q145)/Dati!$D$238)/(IF(Dati!$D$238=3,(Dati!$M$228+Dati!$O$228+Dati!$Q$228),(Dati!$O$228+Dati!$Q$228)/Dati!$D$238)))),0)</f>
        <v>0</v>
      </c>
      <c r="M31" s="81">
        <f>IF((IF(Dati!$D$238=3,(Dati!L145+Dati!N145+Dati!Y145+Dati!U145+Dati!V145+Dati!W145),(Dati!N145+Dati!Y145+Dati!V145+Dati!W145)/Dati!$D$238))&gt;0,((IF(Dati!$D$238=3,(Dati!R145+Dati!S145+Dati!AC145),(Dati!S145+Dati!AC145)/Dati!$D$238)/(IF(Dati!$D$238=3,(Dati!L145+Dati!N145+Dati!Y145+Dati!U145+Dati!V145+Dati!W145),(Dati!N145+Dati!Y145+Dati!V145+Dati!W145)/Dati!$D$238)))),0)</f>
        <v>0</v>
      </c>
    </row>
    <row r="32" spans="1:13" ht="15.75" customHeight="1">
      <c r="A32" s="158" t="s">
        <v>791</v>
      </c>
      <c r="B32" s="74" t="s">
        <v>783</v>
      </c>
      <c r="C32" s="75" t="s">
        <v>499</v>
      </c>
      <c r="D32" s="52">
        <f>IF(Dati!$D$228&gt;0,(Dati!D146/Dati!$D$228),0)</f>
        <v>0.005197081309483828</v>
      </c>
      <c r="E32" s="52">
        <f>IF(Dati!$E$228&gt;0,(Dati!E146/Dati!$E$228),0)</f>
        <v>0.0077331402948290105</v>
      </c>
      <c r="F32" s="52">
        <f>IF((Dati!D146-Dati!E146+Dati!K146)&gt;0,((Dati!J146)/(Dati!D146-Dati!E146+Dati!K146)),0)</f>
        <v>1.0000000000000002</v>
      </c>
      <c r="G32" s="52">
        <f>IF(Dati!$F$228&gt;0,(Dati!F146/Dati!$F$228),0)</f>
        <v>0.005511444178206858</v>
      </c>
      <c r="H32" s="52">
        <f>IF(Dati!$G$228&gt;0,(Dati!G146/Dati!$G$228),0)</f>
        <v>0.009505545888632762</v>
      </c>
      <c r="I32" s="52">
        <f>IF(Dati!$H$228&gt;0,(Dati!H146/Dati!$H$228),0)</f>
        <v>0.007001109388397162</v>
      </c>
      <c r="J32" s="52">
        <f>IF(Dati!$I$228&gt;0,(Dati!I146/Dati!$I$228),0)</f>
        <v>0.009505542330443319</v>
      </c>
      <c r="K32" s="52">
        <f>IF((IF(Dati!$D$238=3,(Dati!$L$228+Dati!$M$228+Dati!$N$228+Dati!$O$228+Dati!$Y$228+Dati!$Q$228),(Dati!$N$228+Dati!$O$228+Dati!$Y$228+Dati!$Q$228))/Dati!$D$238)&gt;0,((IF(Dati!$D$238=3,(Dati!L146+Dati!M146+Dati!N146+Dati!O146+Dati!Y146+Dati!Q146),(Dati!N146+Dati!O146+Dati!Y146+Dati!Q146))/Dati!$D$238)/(IF(Dati!$D$238=3,(Dati!$L$228+Dati!$M$228+Dati!$N$228+Dati!$O$228+Dati!$Y$228+Dati!$Q$228),(Dati!$N$228+Dati!$O$228+Dati!$Y$228+Dati!$Q$228))/Dati!$D$238)),0)</f>
        <v>0.008546668458852867</v>
      </c>
      <c r="L32" s="81">
        <f>IF((IF(Dati!$D$238=3,(Dati!$M$228+Dati!$O$228+Dati!$Q$228),(Dati!$O$228+Dati!$Q$228)/Dati!$D$238))&gt;0,((IF(Dati!$D$238=3,(Dati!M146+Dati!O146+Dati!Q146),(Dati!O146+Dati!Q146)/Dati!$D$238)/(IF(Dati!$D$238=3,(Dati!$M$228+Dati!$O$228+Dati!$Q$228),(Dati!$O$228+Dati!$Q$228)/Dati!$D$238)))),0)</f>
        <v>0.0012631648956101388</v>
      </c>
      <c r="M32" s="81">
        <f>IF((IF(Dati!$D$238=3,(Dati!L146+Dati!N146+Dati!Y146+Dati!U146+Dati!V146+Dati!W146),(Dati!N146+Dati!Y146+Dati!V146+Dati!W146)/Dati!$D$238))&gt;0,((IF(Dati!$D$238=3,(Dati!R146+Dati!S146+Dati!AC146),(Dati!S146+Dati!AC146)/Dati!$D$238)/(IF(Dati!$D$238=3,(Dati!L146+Dati!N146+Dati!Y146+Dati!U146+Dati!V146+Dati!W146),(Dati!N146+Dati!Y146+Dati!V146+Dati!W146)/Dati!$D$238)))),0)</f>
        <v>0.9130912278932258</v>
      </c>
    </row>
    <row r="33" spans="1:13" ht="15" customHeight="1">
      <c r="A33" s="158" t="s">
        <v>791</v>
      </c>
      <c r="B33" s="74" t="s">
        <v>794</v>
      </c>
      <c r="C33" s="75" t="s">
        <v>501</v>
      </c>
      <c r="D33" s="52">
        <f>IF(Dati!$D$228&gt;0,(Dati!D147/Dati!$D$228),0)</f>
        <v>0.0014680968061759855</v>
      </c>
      <c r="E33" s="52">
        <f>IF(Dati!$E$228&gt;0,(Dati!E147/Dati!$E$228),0)</f>
        <v>0</v>
      </c>
      <c r="F33" s="52">
        <f>IF((Dati!D147-Dati!E147+Dati!K147)&gt;0,((Dati!J147)/(Dati!D147-Dati!E147+Dati!K147)),0)</f>
        <v>1</v>
      </c>
      <c r="G33" s="52">
        <f>IF(Dati!$F$228&gt;0,(Dati!F147/Dati!$F$228),0)</f>
        <v>0.0015376914601856232</v>
      </c>
      <c r="H33" s="52">
        <f>IF(Dati!$G$228&gt;0,(Dati!G147/Dati!$G$228),0)</f>
        <v>0</v>
      </c>
      <c r="I33" s="52">
        <f>IF(Dati!$H$228&gt;0,(Dati!H147/Dati!$H$228),0)</f>
        <v>0.0019542404824063908</v>
      </c>
      <c r="J33" s="52">
        <f>IF(Dati!$I$228&gt;0,(Dati!I147/Dati!$I$228),0)</f>
        <v>0</v>
      </c>
      <c r="K33" s="52">
        <f>IF((IF(Dati!$D$238=3,(Dati!$L$228+Dati!$M$228+Dati!$N$228+Dati!$O$228+Dati!$Y$228+Dati!$Q$228),(Dati!$N$228+Dati!$O$228+Dati!$Y$228+Dati!$Q$228))/Dati!$D$238)&gt;0,((IF(Dati!$D$238=3,(Dati!L147+Dati!M147+Dati!N147+Dati!O147+Dati!Y147+Dati!Q147),(Dati!N147+Dati!O147+Dati!Y147+Dati!Q147))/Dati!$D$238)/(IF(Dati!$D$238=3,(Dati!$L$228+Dati!$M$228+Dati!$N$228+Dati!$O$228+Dati!$Y$228+Dati!$Q$228),(Dati!$N$228+Dati!$O$228+Dati!$Y$228+Dati!$Q$228))/Dati!$D$238)),0)</f>
        <v>0.0022876083496796763</v>
      </c>
      <c r="L33" s="81">
        <f>IF((IF(Dati!$D$238=3,(Dati!$M$228+Dati!$O$228+Dati!$Q$228),(Dati!$O$228+Dati!$Q$228)/Dati!$D$238))&gt;0,((IF(Dati!$D$238=3,(Dati!M147+Dati!O147+Dati!Q147),(Dati!O147+Dati!Q147)/Dati!$D$238)/(IF(Dati!$D$238=3,(Dati!$M$228+Dati!$O$228+Dati!$Q$228),(Dati!$O$228+Dati!$Q$228)/Dati!$D$238)))),0)</f>
        <v>0</v>
      </c>
      <c r="M33" s="81">
        <f>IF((IF(Dati!$D$238=3,(Dati!L147+Dati!N147+Dati!Y147+Dati!U147+Dati!V147+Dati!W147),(Dati!N147+Dati!Y147+Dati!V147+Dati!W147)/Dati!$D$238))&gt;0,((IF(Dati!$D$238=3,(Dati!R147+Dati!S147+Dati!AC147),(Dati!S147+Dati!AC147)/Dati!$D$238)/(IF(Dati!$D$238=3,(Dati!L147+Dati!N147+Dati!Y147+Dati!U147+Dati!V147+Dati!W147),(Dati!N147+Dati!Y147+Dati!V147+Dati!W147)/Dati!$D$238)))),0)</f>
        <v>0.7063835301399862</v>
      </c>
    </row>
    <row r="34" spans="1:13" ht="38.25" customHeight="1">
      <c r="A34" s="158" t="s">
        <v>791</v>
      </c>
      <c r="B34" s="168" t="s">
        <v>113</v>
      </c>
      <c r="C34" s="169"/>
      <c r="D34" s="52">
        <f>IF(Dati!$D$228&gt;0,(Dati!D148/Dati!$D$228),0)</f>
        <v>0.06319574922805606</v>
      </c>
      <c r="E34" s="52">
        <f>IF(Dati!$E$228&gt;0,(Dati!E148/Dati!$E$228),0)</f>
        <v>0.0077331402948290105</v>
      </c>
      <c r="F34" s="52">
        <f>IF((Dati!D148-Dati!E148+Dati!K148)&gt;0,((Dati!J148)/(Dati!D148-Dati!E148+Dati!K148)),0)</f>
        <v>1</v>
      </c>
      <c r="G34" s="52">
        <f>IF(Dati!$F$228&gt;0,(Dati!F148/Dati!$F$228),0)</f>
        <v>0.018428472158171</v>
      </c>
      <c r="H34" s="52">
        <f>IF(Dati!$G$228&gt;0,(Dati!G148/Dati!$G$228),0)</f>
        <v>0.009505545888632762</v>
      </c>
      <c r="I34" s="52">
        <f>IF(Dati!$H$228&gt;0,(Dati!H148/Dati!$H$228),0)</f>
        <v>0.02260318694357224</v>
      </c>
      <c r="J34" s="52">
        <f>IF(Dati!$I$228&gt;0,(Dati!I148/Dati!$I$228),0)</f>
        <v>0.009505542330443319</v>
      </c>
      <c r="K34" s="52">
        <f>IF((IF(Dati!$D$238=3,(Dati!$L$228+Dati!$M$228+Dati!$N$228+Dati!$O$228+Dati!$Y$228+Dati!$Q$228),(Dati!$N$228+Dati!$O$228+Dati!$Y$228+Dati!$Q$228))/Dati!$D$238)&gt;0,((IF(Dati!$D$238=3,(Dati!L148+Dati!M148+Dati!N148+Dati!O148+Dati!Y148+Dati!Q148),(Dati!N148+Dati!O148+Dati!Y148+Dati!Q148))/Dati!$D$238)/(IF(Dati!$D$238=3,(Dati!$L$228+Dati!$M$228+Dati!$N$228+Dati!$O$228+Dati!$Y$228+Dati!$Q$228),(Dati!$N$228+Dati!$O$228+Dati!$Y$228+Dati!$Q$228))/Dati!$D$238)),0)</f>
        <v>0.03755447135545637</v>
      </c>
      <c r="L34" s="81">
        <f>IF((IF(Dati!$D$238=3,(Dati!$M$228+Dati!$O$228+Dati!$Q$228),(Dati!$O$228+Dati!$Q$228)/Dati!$D$238))&gt;0,((IF(Dati!$D$238=3,(Dati!M148+Dati!O148+Dati!Q148),(Dati!O148+Dati!Q148)/Dati!$D$238)/(IF(Dati!$D$238=3,(Dati!$M$228+Dati!$O$228+Dati!$Q$228),(Dati!$O$228+Dati!$Q$228)/Dati!$D$238)))),0)</f>
        <v>0.024702363164145657</v>
      </c>
      <c r="M34" s="81">
        <f>IF((IF(Dati!$D$238=3,(Dati!L148+Dati!N148+Dati!Y148+Dati!U148+Dati!V148+Dati!W148),(Dati!N148+Dati!Y148+Dati!V148+Dati!W148)/Dati!$D$238))&gt;0,((IF(Dati!$D$238=3,(Dati!R148+Dati!S148+Dati!AC148),(Dati!S148+Dati!AC148)/Dati!$D$238)/(IF(Dati!$D$238=3,(Dati!L148+Dati!N148+Dati!Y148+Dati!U148+Dati!V148+Dati!W148),(Dati!N148+Dati!Y148+Dati!V148+Dati!W148)/Dati!$D$238)))),0)</f>
        <v>0.840170779966482</v>
      </c>
    </row>
    <row r="35" spans="1:13" ht="30" customHeight="1">
      <c r="A35" s="160" t="s">
        <v>114</v>
      </c>
      <c r="B35" s="77" t="s">
        <v>796</v>
      </c>
      <c r="C35" s="58" t="s">
        <v>505</v>
      </c>
      <c r="D35" s="52">
        <f>IF(Dati!$D$228&gt;0,(Dati!D149/Dati!$D$228),0)</f>
        <v>0</v>
      </c>
      <c r="E35" s="52">
        <f>IF(Dati!$E$228&gt;0,(Dati!E149/Dati!$E$228),0)</f>
        <v>0</v>
      </c>
      <c r="F35" s="52">
        <f>IF((Dati!D149-Dati!E149+Dati!K149)&gt;0,((Dati!J149)/(Dati!D149-Dati!E149+Dati!K149)),0)</f>
        <v>0</v>
      </c>
      <c r="G35" s="52">
        <f>IF(Dati!$F$228&gt;0,(Dati!F149/Dati!$F$228),0)</f>
        <v>0</v>
      </c>
      <c r="H35" s="52">
        <f>IF(Dati!$G$228&gt;0,(Dati!G149/Dati!$G$228),0)</f>
        <v>0</v>
      </c>
      <c r="I35" s="52">
        <f>IF(Dati!$H$228&gt;0,(Dati!H149/Dati!$H$228),0)</f>
        <v>0</v>
      </c>
      <c r="J35" s="52">
        <f>IF(Dati!$I$228&gt;0,(Dati!I149/Dati!$I$228),0)</f>
        <v>0</v>
      </c>
      <c r="K35" s="52">
        <f>IF((IF(Dati!$D$238=3,(Dati!$L$228+Dati!$M$228+Dati!$N$228+Dati!$O$228+Dati!$Y$228+Dati!$Q$228),(Dati!$N$228+Dati!$O$228+Dati!$Y$228+Dati!$Q$228))/Dati!$D$238)&gt;0,((IF(Dati!$D$238=3,(Dati!L149+Dati!M149+Dati!N149+Dati!O149+Dati!Y149+Dati!Q149),(Dati!N149+Dati!O149+Dati!Y149+Dati!Q149))/Dati!$D$238)/(IF(Dati!$D$238=3,(Dati!$L$228+Dati!$M$228+Dati!$N$228+Dati!$O$228+Dati!$Y$228+Dati!$Q$228),(Dati!$N$228+Dati!$O$228+Dati!$Y$228+Dati!$Q$228))/Dati!$D$238)),0)</f>
        <v>6.97958023368907E-05</v>
      </c>
      <c r="L35" s="81">
        <f>IF((IF(Dati!$D$238=3,(Dati!$M$228+Dati!$O$228+Dati!$Q$228),(Dati!$O$228+Dati!$Q$228)/Dati!$D$238))&gt;0,((IF(Dati!$D$238=3,(Dati!M149+Dati!O149+Dati!Q149),(Dati!O149+Dati!Q149)/Dati!$D$238)/(IF(Dati!$D$238=3,(Dati!$M$228+Dati!$O$228+Dati!$Q$228),(Dati!$O$228+Dati!$Q$228)/Dati!$D$238)))),0)</f>
        <v>0</v>
      </c>
      <c r="M35" s="81">
        <f>IF((IF(Dati!$D$238=3,(Dati!L149+Dati!N149+Dati!Y149+Dati!U149+Dati!V149+Dati!W149),(Dati!N149+Dati!Y149+Dati!V149+Dati!W149)/Dati!$D$238))&gt;0,((IF(Dati!$D$238=3,(Dati!R149+Dati!S149+Dati!AC149),(Dati!S149+Dati!AC149)/Dati!$D$238)/(IF(Dati!$D$238=3,(Dati!L149+Dati!N149+Dati!Y149+Dati!U149+Dati!V149+Dati!W149),(Dati!N149+Dati!Y149+Dati!V149+Dati!W149)/Dati!$D$238)))),0)</f>
        <v>0.9997256580456138</v>
      </c>
    </row>
    <row r="36" spans="1:13" ht="31.5" customHeight="1">
      <c r="A36" s="158" t="s">
        <v>795</v>
      </c>
      <c r="B36" s="77" t="s">
        <v>790</v>
      </c>
      <c r="C36" s="58" t="s">
        <v>91</v>
      </c>
      <c r="D36" s="52">
        <f>IF(Dati!$D$228&gt;0,(Dati!D150/Dati!$D$228),0)</f>
        <v>0.009440605020142866</v>
      </c>
      <c r="E36" s="52">
        <f>IF(Dati!$E$228&gt;0,(Dati!E150/Dati!$E$228),0)</f>
        <v>0.028631942520295516</v>
      </c>
      <c r="F36" s="52">
        <f>IF((Dati!D150-Dati!E150+Dati!K150)&gt;0,((Dati!J150)/(Dati!D150-Dati!E150+Dati!K150)),0)</f>
        <v>1</v>
      </c>
      <c r="G36" s="52">
        <f>IF(Dati!$F$228&gt;0,(Dati!F150/Dati!$F$228),0)</f>
        <v>0.007259690150257255</v>
      </c>
      <c r="H36" s="52">
        <f>IF(Dati!$G$228&gt;0,(Dati!G150/Dati!$G$228),0)</f>
        <v>0.035885554085051986</v>
      </c>
      <c r="I36" s="52">
        <f>IF(Dati!$H$228&gt;0,(Dati!H150/Dati!$H$228),0)</f>
        <v>0.008680205527595986</v>
      </c>
      <c r="J36" s="52">
        <f>IF(Dati!$I$228&gt;0,(Dati!I150/Dati!$I$228),0)</f>
        <v>0.03588554065209388</v>
      </c>
      <c r="K36" s="52">
        <f>IF((IF(Dati!$D$238=3,(Dati!$L$228+Dati!$M$228+Dati!$N$228+Dati!$O$228+Dati!$Y$228+Dati!$Q$228),(Dati!$N$228+Dati!$O$228+Dati!$Y$228+Dati!$Q$228))/Dati!$D$238)&gt;0,((IF(Dati!$D$238=3,(Dati!L150+Dati!M150+Dati!N150+Dati!O150+Dati!Y150+Dati!Q150),(Dati!N150+Dati!O150+Dati!Y150+Dati!Q150))/Dati!$D$238)/(IF(Dati!$D$238=3,(Dati!$L$228+Dati!$M$228+Dati!$N$228+Dati!$O$228+Dati!$Y$228+Dati!$Q$228),(Dati!$N$228+Dati!$O$228+Dati!$Y$228+Dati!$Q$228))/Dati!$D$238)),0)</f>
        <v>0.01855956047982756</v>
      </c>
      <c r="L36" s="81">
        <f>IF((IF(Dati!$D$238=3,(Dati!$M$228+Dati!$O$228+Dati!$Q$228),(Dati!$O$228+Dati!$Q$228)/Dati!$D$238))&gt;0,((IF(Dati!$D$238=3,(Dati!M150+Dati!O150+Dati!Q150),(Dati!O150+Dati!Q150)/Dati!$D$238)/(IF(Dati!$D$238=3,(Dati!$M$228+Dati!$O$228+Dati!$Q$228),(Dati!$O$228+Dati!$Q$228)/Dati!$D$238)))),0)</f>
        <v>0.04942522147626256</v>
      </c>
      <c r="M36" s="81">
        <f>IF((IF(Dati!$D$238=3,(Dati!L150+Dati!N150+Dati!Y150+Dati!U150+Dati!V150+Dati!W150),(Dati!N150+Dati!Y150+Dati!V150+Dati!W150)/Dati!$D$238))&gt;0,((IF(Dati!$D$238=3,(Dati!R150+Dati!S150+Dati!AC150),(Dati!S150+Dati!AC150)/Dati!$D$238)/(IF(Dati!$D$238=3,(Dati!L150+Dati!N150+Dati!Y150+Dati!U150+Dati!V150+Dati!W150),(Dati!N150+Dati!Y150+Dati!V150+Dati!W150)/Dati!$D$238)))),0)</f>
        <v>0.902703610719727</v>
      </c>
    </row>
    <row r="37" spans="1:13" ht="55.5" customHeight="1">
      <c r="A37" s="158" t="s">
        <v>795</v>
      </c>
      <c r="B37" s="169" t="s">
        <v>115</v>
      </c>
      <c r="C37" s="169"/>
      <c r="D37" s="52">
        <f>IF(Dati!$D$228&gt;0,(Dati!D151/Dati!$D$228),0)</f>
        <v>0.009440605020142866</v>
      </c>
      <c r="E37" s="52">
        <f>IF(Dati!$E$228&gt;0,(Dati!E151/Dati!$E$228),0)</f>
        <v>0.028631942520295516</v>
      </c>
      <c r="F37" s="52">
        <f>IF((Dati!D151-Dati!E151+Dati!K151)&gt;0,((Dati!J151)/(Dati!D151-Dati!E151+Dati!K151)),0)</f>
        <v>1</v>
      </c>
      <c r="G37" s="52">
        <f>IF(Dati!$F$228&gt;0,(Dati!F151/Dati!$F$228),0)</f>
        <v>0.007259690150257255</v>
      </c>
      <c r="H37" s="52">
        <f>IF(Dati!$G$228&gt;0,(Dati!G151/Dati!$G$228),0)</f>
        <v>0.035885554085051986</v>
      </c>
      <c r="I37" s="52">
        <f>IF(Dati!$H$228&gt;0,(Dati!H151/Dati!$H$228),0)</f>
        <v>0.008680205527595986</v>
      </c>
      <c r="J37" s="52">
        <f>IF(Dati!$I$228&gt;0,(Dati!I151/Dati!$I$228),0)</f>
        <v>0.03588554065209388</v>
      </c>
      <c r="K37" s="52">
        <f>IF((IF(Dati!$D$238=3,(Dati!$L$228+Dati!$M$228+Dati!$N$228+Dati!$O$228+Dati!$Y$228+Dati!$Q$228),(Dati!$N$228+Dati!$O$228+Dati!$Y$228+Dati!$Q$228))/Dati!$D$238)&gt;0,((IF(Dati!$D$238=3,(Dati!L151+Dati!M151+Dati!N151+Dati!O151+Dati!Y151+Dati!Q151),(Dati!N151+Dati!O151+Dati!Y151+Dati!Q151))/Dati!$D$238)/(IF(Dati!$D$238=3,(Dati!$L$228+Dati!$M$228+Dati!$N$228+Dati!$O$228+Dati!$Y$228+Dati!$Q$228),(Dati!$N$228+Dati!$O$228+Dati!$Y$228+Dati!$Q$228))/Dati!$D$238)),0)</f>
        <v>0.01862935628216445</v>
      </c>
      <c r="L37" s="81">
        <f>IF((IF(Dati!$D$238=3,(Dati!$M$228+Dati!$O$228+Dati!$Q$228),(Dati!$O$228+Dati!$Q$228)/Dati!$D$238))&gt;0,((IF(Dati!$D$238=3,(Dati!M151+Dati!O151+Dati!Q151),(Dati!O151+Dati!Q151)/Dati!$D$238)/(IF(Dati!$D$238=3,(Dati!$M$228+Dati!$O$228+Dati!$Q$228),(Dati!$O$228+Dati!$Q$228)/Dati!$D$238)))),0)</f>
        <v>0.04942522147626256</v>
      </c>
      <c r="M37" s="81">
        <f>IF((IF(Dati!$D$238=3,(Dati!L151+Dati!N151+Dati!Y151+Dati!U151+Dati!V151+Dati!W151),(Dati!N151+Dati!Y151+Dati!V151+Dati!W151)/Dati!$D$238))&gt;0,((IF(Dati!$D$238=3,(Dati!R151+Dati!S151+Dati!AC151),(Dati!S151+Dati!AC151)/Dati!$D$238)/(IF(Dati!$D$238=3,(Dati!L151+Dati!N151+Dati!Y151+Dati!U151+Dati!V151+Dati!W151),(Dati!N151+Dati!Y151+Dati!V151+Dati!W151)/Dati!$D$238)))),0)</f>
        <v>0.9058255534172136</v>
      </c>
    </row>
    <row r="38" spans="1:13" ht="13.5" customHeight="1">
      <c r="A38" s="160" t="s">
        <v>116</v>
      </c>
      <c r="B38" s="78" t="s">
        <v>778</v>
      </c>
      <c r="C38" s="75" t="s">
        <v>511</v>
      </c>
      <c r="D38" s="52">
        <f>IF(Dati!$D$228&gt;0,(Dati!D152/Dati!$D$228),0)</f>
        <v>0.00158276144640776</v>
      </c>
      <c r="E38" s="52">
        <f>IF(Dati!$E$228&gt;0,(Dati!E152/Dati!$E$228),0)</f>
        <v>0.0009417930224460801</v>
      </c>
      <c r="F38" s="52">
        <f>IF((Dati!D152-Dati!E152+Dati!K152)&gt;0,((Dati!J152)/(Dati!D152-Dati!E152+Dati!K152)),0)</f>
        <v>1</v>
      </c>
      <c r="G38" s="52">
        <f>IF(Dati!$F$228&gt;0,(Dati!F152/Dati!$F$228),0)</f>
        <v>0.0012458348306493075</v>
      </c>
      <c r="H38" s="52">
        <f>IF(Dati!$G$228&gt;0,(Dati!G152/Dati!$G$228),0)</f>
        <v>0</v>
      </c>
      <c r="I38" s="52">
        <f>IF(Dati!$H$228&gt;0,(Dati!H152/Dati!$H$228),0)</f>
        <v>0.0015633944050340587</v>
      </c>
      <c r="J38" s="52">
        <f>IF(Dati!$I$228&gt;0,(Dati!I152/Dati!$I$228),0)</f>
        <v>0</v>
      </c>
      <c r="K38" s="52">
        <f>IF((IF(Dati!$D$238=3,(Dati!$L$228+Dati!$M$228+Dati!$N$228+Dati!$O$228+Dati!$Y$228+Dati!$Q$228),(Dati!$N$228+Dati!$O$228+Dati!$Y$228+Dati!$Q$228))/Dati!$D$238)&gt;0,((IF(Dati!$D$238=3,(Dati!L152+Dati!M152+Dati!N152+Dati!O152+Dati!Y152+Dati!Q152),(Dati!N152+Dati!O152+Dati!Y152+Dati!Q152))/Dati!$D$238)/(IF(Dati!$D$238=3,(Dati!$L$228+Dati!$M$228+Dati!$N$228+Dati!$O$228+Dati!$Y$228+Dati!$Q$228),(Dati!$N$228+Dati!$O$228+Dati!$Y$228+Dati!$Q$228))/Dati!$D$238)),0)</f>
        <v>0.007138479922119142</v>
      </c>
      <c r="L38" s="81">
        <f>IF((IF(Dati!$D$238=3,(Dati!$M$228+Dati!$O$228+Dati!$Q$228),(Dati!$O$228+Dati!$Q$228)/Dati!$D$238))&gt;0,((IF(Dati!$D$238=3,(Dati!M152+Dati!O152+Dati!Q152),(Dati!O152+Dati!Q152)/Dati!$D$238)/(IF(Dati!$D$238=3,(Dati!$M$228+Dati!$O$228+Dati!$Q$228),(Dati!$O$228+Dati!$Q$228)/Dati!$D$238)))),0)</f>
        <v>0.019711327946342217</v>
      </c>
      <c r="M38" s="81">
        <f>IF((IF(Dati!$D$238=3,(Dati!L152+Dati!N152+Dati!Y152+Dati!U152+Dati!V152+Dati!W152),(Dati!N152+Dati!Y152+Dati!V152+Dati!W152)/Dati!$D$238))&gt;0,((IF(Dati!$D$238=3,(Dati!R152+Dati!S152+Dati!AC152),(Dati!S152+Dati!AC152)/Dati!$D$238)/(IF(Dati!$D$238=3,(Dati!L152+Dati!N152+Dati!Y152+Dati!U152+Dati!V152+Dati!W152),(Dati!N152+Dati!Y152+Dati!V152+Dati!W152)/Dati!$D$238)))),0)</f>
        <v>0.9366381253468484</v>
      </c>
    </row>
    <row r="39" spans="1:13" ht="12" customHeight="1">
      <c r="A39" s="158" t="s">
        <v>797</v>
      </c>
      <c r="B39" s="78" t="s">
        <v>779</v>
      </c>
      <c r="C39" s="75" t="s">
        <v>513</v>
      </c>
      <c r="D39" s="52">
        <f>IF(Dati!$D$228&gt;0,(Dati!D153/Dati!$D$228),0)</f>
        <v>0</v>
      </c>
      <c r="E39" s="52">
        <f>IF(Dati!$E$228&gt;0,(Dati!E153/Dati!$E$228),0)</f>
        <v>0</v>
      </c>
      <c r="F39" s="52">
        <f>IF((Dati!D153-Dati!E153+Dati!K153)&gt;0,((Dati!J153)/(Dati!D153-Dati!E153+Dati!K153)),0)</f>
        <v>0</v>
      </c>
      <c r="G39" s="52">
        <f>IF(Dati!$F$228&gt;0,(Dati!F153/Dati!$F$228),0)</f>
        <v>0</v>
      </c>
      <c r="H39" s="52">
        <f>IF(Dati!$G$228&gt;0,(Dati!G153/Dati!$G$228),0)</f>
        <v>0</v>
      </c>
      <c r="I39" s="52">
        <f>IF(Dati!$H$228&gt;0,(Dati!H153/Dati!$H$228),0)</f>
        <v>0</v>
      </c>
      <c r="J39" s="52">
        <f>IF(Dati!$I$228&gt;0,(Dati!I153/Dati!$I$228),0)</f>
        <v>0</v>
      </c>
      <c r="K39" s="52">
        <f>IF((IF(Dati!$D$238=3,(Dati!$L$228+Dati!$M$228+Dati!$N$228+Dati!$O$228+Dati!$Y$228+Dati!$Q$228),(Dati!$N$228+Dati!$O$228+Dati!$Y$228+Dati!$Q$228))/Dati!$D$238)&gt;0,((IF(Dati!$D$238=3,(Dati!L153+Dati!M153+Dati!N153+Dati!O153+Dati!Y153+Dati!Q153),(Dati!N153+Dati!O153+Dati!Y153+Dati!Q153))/Dati!$D$238)/(IF(Dati!$D$238=3,(Dati!$L$228+Dati!$M$228+Dati!$N$228+Dati!$O$228+Dati!$Y$228+Dati!$Q$228),(Dati!$N$228+Dati!$O$228+Dati!$Y$228+Dati!$Q$228))/Dati!$D$238)),0)</f>
        <v>0</v>
      </c>
      <c r="L39" s="81">
        <f>IF((IF(Dati!$D$238=3,(Dati!$M$228+Dati!$O$228+Dati!$Q$228),(Dati!$O$228+Dati!$Q$228)/Dati!$D$238))&gt;0,((IF(Dati!$D$238=3,(Dati!M153+Dati!O153+Dati!Q153),(Dati!O153+Dati!Q153)/Dati!$D$238)/(IF(Dati!$D$238=3,(Dati!$M$228+Dati!$O$228+Dati!$Q$228),(Dati!$O$228+Dati!$Q$228)/Dati!$D$238)))),0)</f>
        <v>0</v>
      </c>
      <c r="M39" s="81">
        <f>IF((IF(Dati!$D$238=3,(Dati!L153+Dati!N153+Dati!Y153+Dati!U153+Dati!V153+Dati!W153),(Dati!N153+Dati!Y153+Dati!V153+Dati!W153)/Dati!$D$238))&gt;0,((IF(Dati!$D$238=3,(Dati!R153+Dati!S153+Dati!AC153),(Dati!S153+Dati!AC153)/Dati!$D$238)/(IF(Dati!$D$238=3,(Dati!L153+Dati!N153+Dati!Y153+Dati!U153+Dati!V153+Dati!W153),(Dati!N153+Dati!Y153+Dati!V153+Dati!W153)/Dati!$D$238)))),0)</f>
        <v>0</v>
      </c>
    </row>
    <row r="40" spans="1:13" ht="43.5" customHeight="1">
      <c r="A40" s="158" t="s">
        <v>797</v>
      </c>
      <c r="B40" s="168" t="s">
        <v>117</v>
      </c>
      <c r="C40" s="169"/>
      <c r="D40" s="52">
        <f>IF(Dati!$D$228&gt;0,(Dati!D154/Dati!$D$228),0)</f>
        <v>0.00158276144640776</v>
      </c>
      <c r="E40" s="52">
        <f>IF(Dati!$E$228&gt;0,(Dati!E154/Dati!$E$228),0)</f>
        <v>0.0009417930224460801</v>
      </c>
      <c r="F40" s="52">
        <f>IF((Dati!D154-Dati!E154+Dati!K154)&gt;0,((Dati!J154)/(Dati!D154-Dati!E154+Dati!K154)),0)</f>
        <v>1</v>
      </c>
      <c r="G40" s="52">
        <f>IF(Dati!$F$228&gt;0,(Dati!F154/Dati!$F$228),0)</f>
        <v>0.0012458348306493075</v>
      </c>
      <c r="H40" s="52">
        <f>IF(Dati!$G$228&gt;0,(Dati!G154/Dati!$G$228),0)</f>
        <v>0</v>
      </c>
      <c r="I40" s="52">
        <f>IF(Dati!$H$228&gt;0,(Dati!H154/Dati!$H$228),0)</f>
        <v>0.0015633944050340587</v>
      </c>
      <c r="J40" s="52">
        <f>IF(Dati!$I$228&gt;0,(Dati!I154/Dati!$I$228),0)</f>
        <v>0</v>
      </c>
      <c r="K40" s="52">
        <f>IF((IF(Dati!$D$238=3,(Dati!$L$228+Dati!$M$228+Dati!$N$228+Dati!$O$228+Dati!$Y$228+Dati!$Q$228),(Dati!$N$228+Dati!$O$228+Dati!$Y$228+Dati!$Q$228))/Dati!$D$238)&gt;0,((IF(Dati!$D$238=3,(Dati!L154+Dati!M154+Dati!N154+Dati!O154+Dati!Y154+Dati!Q154),(Dati!N154+Dati!O154+Dati!Y154+Dati!Q154))/Dati!$D$238)/(IF(Dati!$D$238=3,(Dati!$L$228+Dati!$M$228+Dati!$N$228+Dati!$O$228+Dati!$Y$228+Dati!$Q$228),(Dati!$N$228+Dati!$O$228+Dati!$Y$228+Dati!$Q$228))/Dati!$D$238)),0)</f>
        <v>0.007138479922119142</v>
      </c>
      <c r="L40" s="81">
        <f>IF((IF(Dati!$D$238=3,(Dati!$M$228+Dati!$O$228+Dati!$Q$228),(Dati!$O$228+Dati!$Q$228)/Dati!$D$238))&gt;0,((IF(Dati!$D$238=3,(Dati!M154+Dati!O154+Dati!Q154),(Dati!O154+Dati!Q154)/Dati!$D$238)/(IF(Dati!$D$238=3,(Dati!$M$228+Dati!$O$228+Dati!$Q$228),(Dati!$O$228+Dati!$Q$228)/Dati!$D$238)))),0)</f>
        <v>0.019711327946342217</v>
      </c>
      <c r="M40" s="81">
        <f>IF((IF(Dati!$D$238=3,(Dati!L154+Dati!N154+Dati!Y154+Dati!U154+Dati!V154+Dati!W154),(Dati!N154+Dati!Y154+Dati!V154+Dati!W154)/Dati!$D$238))&gt;0,((IF(Dati!$D$238=3,(Dati!R154+Dati!S154+Dati!AC154),(Dati!S154+Dati!AC154)/Dati!$D$238)/(IF(Dati!$D$238=3,(Dati!L154+Dati!N154+Dati!Y154+Dati!U154+Dati!V154+Dati!W154),(Dati!N154+Dati!Y154+Dati!V154+Dati!W154)/Dati!$D$238)))),0)</f>
        <v>0.9366381253468484</v>
      </c>
    </row>
    <row r="41" spans="1:13" ht="25.5" customHeight="1">
      <c r="A41" s="160" t="s">
        <v>118</v>
      </c>
      <c r="B41" s="77" t="s">
        <v>796</v>
      </c>
      <c r="C41" s="58" t="s">
        <v>517</v>
      </c>
      <c r="D41" s="52">
        <f>IF(Dati!$D$228&gt;0,(Dati!D155/Dati!$D$228),0)</f>
        <v>0.004398737861458631</v>
      </c>
      <c r="E41" s="52">
        <f>IF(Dati!$E$228&gt;0,(Dati!E155/Dati!$E$228),0)</f>
        <v>0</v>
      </c>
      <c r="F41" s="52">
        <f>IF((Dati!D155-Dati!E155+Dati!K155)&gt;0,((Dati!J155)/(Dati!D155-Dati!E155+Dati!K155)),0)</f>
        <v>1</v>
      </c>
      <c r="G41" s="52">
        <f>IF(Dati!$F$228&gt;0,(Dati!F155/Dati!$F$228),0)</f>
        <v>0.0025755530370033743</v>
      </c>
      <c r="H41" s="52">
        <f>IF(Dati!$G$228&gt;0,(Dati!G155/Dati!$G$228),0)</f>
        <v>0</v>
      </c>
      <c r="I41" s="52">
        <f>IF(Dati!$H$228&gt;0,(Dati!H155/Dati!$H$228),0)</f>
        <v>0.003273250934806601</v>
      </c>
      <c r="J41" s="52">
        <f>IF(Dati!$I$228&gt;0,(Dati!I155/Dati!$I$228),0)</f>
        <v>0</v>
      </c>
      <c r="K41" s="52">
        <f>IF((IF(Dati!$D$238=3,(Dati!$L$228+Dati!$M$228+Dati!$N$228+Dati!$O$228+Dati!$Y$228+Dati!$Q$228),(Dati!$N$228+Dati!$O$228+Dati!$Y$228+Dati!$Q$228))/Dati!$D$238)&gt;0,((IF(Dati!$D$238=3,(Dati!L155+Dati!M155+Dati!N155+Dati!O155+Dati!Y155+Dati!Q155),(Dati!N155+Dati!O155+Dati!Y155+Dati!Q155))/Dati!$D$238)/(IF(Dati!$D$238=3,(Dati!$L$228+Dati!$M$228+Dati!$N$228+Dati!$O$228+Dati!$Y$228+Dati!$Q$228),(Dati!$N$228+Dati!$O$228+Dati!$Y$228+Dati!$Q$228))/Dati!$D$238)),0)</f>
        <v>0.020603221960952545</v>
      </c>
      <c r="L41" s="81">
        <f>IF((IF(Dati!$D$238=3,(Dati!$M$228+Dati!$O$228+Dati!$Q$228),(Dati!$O$228+Dati!$Q$228)/Dati!$D$238))&gt;0,((IF(Dati!$D$238=3,(Dati!M155+Dati!O155+Dati!Q155),(Dati!O155+Dati!Q155)/Dati!$D$238)/(IF(Dati!$D$238=3,(Dati!$M$228+Dati!$O$228+Dati!$Q$228),(Dati!$O$228+Dati!$Q$228)/Dati!$D$238)))),0)</f>
        <v>0.04066663344869578</v>
      </c>
      <c r="M41" s="81">
        <f>IF((IF(Dati!$D$238=3,(Dati!L155+Dati!N155+Dati!Y155+Dati!U155+Dati!V155+Dati!W155),(Dati!N155+Dati!Y155+Dati!V155+Dati!W155)/Dati!$D$238))&gt;0,((IF(Dati!$D$238=3,(Dati!R155+Dati!S155+Dati!AC155),(Dati!S155+Dati!AC155)/Dati!$D$238)/(IF(Dati!$D$238=3,(Dati!L155+Dati!N155+Dati!Y155+Dati!U155+Dati!V155+Dati!W155),(Dati!N155+Dati!Y155+Dati!V155+Dati!W155)/Dati!$D$238)))),0)</f>
        <v>0.8402933236701122</v>
      </c>
    </row>
    <row r="42" spans="1:13" ht="29.25" customHeight="1">
      <c r="A42" s="158" t="s">
        <v>798</v>
      </c>
      <c r="B42" s="168" t="s">
        <v>119</v>
      </c>
      <c r="C42" s="169"/>
      <c r="D42" s="52">
        <f>IF(Dati!$D$228&gt;0,(Dati!D156/Dati!$D$228),0)</f>
        <v>0.004398737861458631</v>
      </c>
      <c r="E42" s="52">
        <f>IF(Dati!$E$228&gt;0,(Dati!E156/Dati!$E$228),0)</f>
        <v>0</v>
      </c>
      <c r="F42" s="52">
        <f>IF((Dati!D156-Dati!E156+Dati!K156)&gt;0,((Dati!J156)/(Dati!D156-Dati!E156+Dati!K156)),0)</f>
        <v>1</v>
      </c>
      <c r="G42" s="52">
        <f>IF(Dati!$F$228&gt;0,(Dati!F156/Dati!$F$228),0)</f>
        <v>0.0025755530370033743</v>
      </c>
      <c r="H42" s="52">
        <f>IF(Dati!$G$228&gt;0,(Dati!G156/Dati!$G$228),0)</f>
        <v>0</v>
      </c>
      <c r="I42" s="52">
        <f>IF(Dati!$H$228&gt;0,(Dati!H156/Dati!$H$228),0)</f>
        <v>0.003273250934806601</v>
      </c>
      <c r="J42" s="52">
        <f>IF(Dati!$I$228&gt;0,(Dati!I156/Dati!$I$228),0)</f>
        <v>0</v>
      </c>
      <c r="K42" s="52">
        <f>IF((IF(Dati!$D$238=3,(Dati!$L$228+Dati!$M$228+Dati!$N$228+Dati!$O$228+Dati!$Y$228+Dati!$Q$228),(Dati!$N$228+Dati!$O$228+Dati!$Y$228+Dati!$Q$228))/Dati!$D$238)&gt;0,((IF(Dati!$D$238=3,(Dati!L156+Dati!M156+Dati!N156+Dati!O156+Dati!Y156+Dati!Q156),(Dati!N156+Dati!O156+Dati!Y156+Dati!Q156))/Dati!$D$238)/(IF(Dati!$D$238=3,(Dati!$L$228+Dati!$M$228+Dati!$N$228+Dati!$O$228+Dati!$Y$228+Dati!$Q$228),(Dati!$N$228+Dati!$O$228+Dati!$Y$228+Dati!$Q$228))/Dati!$D$238)),0)</f>
        <v>0.020603221960952545</v>
      </c>
      <c r="L42" s="81">
        <f>IF((IF(Dati!$D$238=3,(Dati!$M$228+Dati!$O$228+Dati!$Q$228),(Dati!$O$228+Dati!$Q$228)/Dati!$D$238))&gt;0,((IF(Dati!$D$238=3,(Dati!M156+Dati!O156+Dati!Q156),(Dati!O156+Dati!Q156)/Dati!$D$238)/(IF(Dati!$D$238=3,(Dati!$M$228+Dati!$O$228+Dati!$Q$228),(Dati!$O$228+Dati!$Q$228)/Dati!$D$238)))),0)</f>
        <v>0.04066663344869578</v>
      </c>
      <c r="M42" s="81">
        <f>IF((IF(Dati!$D$238=3,(Dati!L156+Dati!N156+Dati!Y156+Dati!U156+Dati!V156+Dati!W156),(Dati!N156+Dati!Y156+Dati!V156+Dati!W156)/Dati!$D$238))&gt;0,((IF(Dati!$D$238=3,(Dati!R156+Dati!S156+Dati!AC156),(Dati!S156+Dati!AC156)/Dati!$D$238)/(IF(Dati!$D$238=3,(Dati!L156+Dati!N156+Dati!Y156+Dati!U156+Dati!V156+Dati!W156),(Dati!N156+Dati!Y156+Dati!V156+Dati!W156)/Dati!$D$238)))),0)</f>
        <v>0.8402933236701122</v>
      </c>
    </row>
    <row r="43" spans="1:13" ht="25.5" customHeight="1">
      <c r="A43" s="160" t="s">
        <v>120</v>
      </c>
      <c r="B43" s="77" t="s">
        <v>796</v>
      </c>
      <c r="C43" s="58" t="s">
        <v>521</v>
      </c>
      <c r="D43" s="52">
        <f>IF(Dati!$D$228&gt;0,(Dati!D157/Dati!$D$228),0)</f>
        <v>0.005780709566765702</v>
      </c>
      <c r="E43" s="52">
        <f>IF(Dati!$E$228&gt;0,(Dati!E157/Dati!$E$228),0)</f>
        <v>0.05173863173538145</v>
      </c>
      <c r="F43" s="52">
        <f>IF((Dati!D157-Dati!E157+Dati!K157)&gt;0,((Dati!J157)/(Dati!D157-Dati!E157+Dati!K157)),0)</f>
        <v>1</v>
      </c>
      <c r="G43" s="52">
        <f>IF(Dati!$F$228&gt;0,(Dati!F157/Dati!$F$228),0)</f>
        <v>0.0056090950818603776</v>
      </c>
      <c r="H43" s="52">
        <f>IF(Dati!$G$228&gt;0,(Dati!G157/Dati!$G$228),0)</f>
        <v>0.06607200033294762</v>
      </c>
      <c r="I43" s="52">
        <f>IF(Dati!$H$228&gt;0,(Dati!H157/Dati!$H$228),0)</f>
        <v>0.006752426936372241</v>
      </c>
      <c r="J43" s="52">
        <f>IF(Dati!$I$228&gt;0,(Dati!I157/Dati!$I$228),0)</f>
        <v>0.06607197560036553</v>
      </c>
      <c r="K43" s="52">
        <f>IF((IF(Dati!$D$238=3,(Dati!$L$228+Dati!$M$228+Dati!$N$228+Dati!$O$228+Dati!$Y$228+Dati!$Q$228),(Dati!$N$228+Dati!$O$228+Dati!$Y$228+Dati!$Q$228))/Dati!$D$238)&gt;0,((IF(Dati!$D$238=3,(Dati!L157+Dati!M157+Dati!N157+Dati!O157+Dati!Y157+Dati!Q157),(Dati!N157+Dati!O157+Dati!Y157+Dati!Q157))/Dati!$D$238)/(IF(Dati!$D$238=3,(Dati!$L$228+Dati!$M$228+Dati!$N$228+Dati!$O$228+Dati!$Y$228+Dati!$Q$228),(Dati!$N$228+Dati!$O$228+Dati!$Y$228+Dati!$Q$228))/Dati!$D$238)),0)</f>
        <v>0.01910524831045827</v>
      </c>
      <c r="L43" s="81">
        <f>IF((IF(Dati!$D$238=3,(Dati!$M$228+Dati!$O$228+Dati!$Q$228),(Dati!$O$228+Dati!$Q$228)/Dati!$D$238))&gt;0,((IF(Dati!$D$238=3,(Dati!M157+Dati!O157+Dati!Q157),(Dati!O157+Dati!Q157)/Dati!$D$238)/(IF(Dati!$D$238=3,(Dati!$M$228+Dati!$O$228+Dati!$Q$228),(Dati!$O$228+Dati!$Q$228)/Dati!$D$238)))),0)</f>
        <v>0.07612262623419531</v>
      </c>
      <c r="M43" s="81">
        <f>IF((IF(Dati!$D$238=3,(Dati!L157+Dati!N157+Dati!Y157+Dati!U157+Dati!V157+Dati!W157),(Dati!N157+Dati!Y157+Dati!V157+Dati!W157)/Dati!$D$238))&gt;0,((IF(Dati!$D$238=3,(Dati!R157+Dati!S157+Dati!AC157),(Dati!S157+Dati!AC157)/Dati!$D$238)/(IF(Dati!$D$238=3,(Dati!L157+Dati!N157+Dati!Y157+Dati!U157+Dati!V157+Dati!W157),(Dati!N157+Dati!Y157+Dati!V157+Dati!W157)/Dati!$D$238)))),0)</f>
        <v>0.951626606514741</v>
      </c>
    </row>
    <row r="44" spans="1:13" ht="37.5" customHeight="1">
      <c r="A44" s="158" t="s">
        <v>799</v>
      </c>
      <c r="B44" s="77" t="s">
        <v>790</v>
      </c>
      <c r="C44" s="58" t="s">
        <v>121</v>
      </c>
      <c r="D44" s="52">
        <f>IF(Dati!$D$228&gt;0,(Dati!D158/Dati!$D$228),0)</f>
        <v>0.028823671652141822</v>
      </c>
      <c r="E44" s="52">
        <f>IF(Dati!$E$228&gt;0,(Dati!E158/Dati!$E$228),0)</f>
        <v>0.01410025577359251</v>
      </c>
      <c r="F44" s="52">
        <f>IF((Dati!D158-Dati!E158+Dati!K158)&gt;0,((Dati!J158)/(Dati!D158-Dati!E158+Dati!K158)),0)</f>
        <v>1</v>
      </c>
      <c r="G44" s="52">
        <f>IF(Dati!$F$228&gt;0,(Dati!F158/Dati!$F$228),0)</f>
        <v>0.019858340056519718</v>
      </c>
      <c r="H44" s="52">
        <f>IF(Dati!$G$228&gt;0,(Dati!G158/Dati!$G$228),0)</f>
        <v>0.017764409811024656</v>
      </c>
      <c r="I44" s="52">
        <f>IF(Dati!$H$228&gt;0,(Dati!H158/Dati!$H$228),0)</f>
        <v>0.0031979638688640647</v>
      </c>
      <c r="J44" s="52">
        <f>IF(Dati!$I$228&gt;0,(Dati!I158/Dati!$I$228),0)</f>
        <v>0.017764403161313405</v>
      </c>
      <c r="K44" s="52">
        <f>IF((IF(Dati!$D$238=3,(Dati!$L$228+Dati!$M$228+Dati!$N$228+Dati!$O$228+Dati!$Y$228+Dati!$Q$228),(Dati!$N$228+Dati!$O$228+Dati!$Y$228+Dati!$Q$228))/Dati!$D$238)&gt;0,((IF(Dati!$D$238=3,(Dati!L158+Dati!M158+Dati!N158+Dati!O158+Dati!Y158+Dati!Q158),(Dati!N158+Dati!O158+Dati!Y158+Dati!Q158))/Dati!$D$238)/(IF(Dati!$D$238=3,(Dati!$L$228+Dati!$M$228+Dati!$N$228+Dati!$O$228+Dati!$Y$228+Dati!$Q$228),(Dati!$N$228+Dati!$O$228+Dati!$Y$228+Dati!$Q$228))/Dati!$D$238)),0)</f>
        <v>0.007912843343974435</v>
      </c>
      <c r="L44" s="81">
        <f>IF((IF(Dati!$D$238=3,(Dati!$M$228+Dati!$O$228+Dati!$Q$228),(Dati!$O$228+Dati!$Q$228)/Dati!$D$238))&gt;0,((IF(Dati!$D$238=3,(Dati!M158+Dati!O158+Dati!Q158),(Dati!O158+Dati!Q158)/Dati!$D$238)/(IF(Dati!$D$238=3,(Dati!$M$228+Dati!$O$228+Dati!$Q$228),(Dati!$O$228+Dati!$Q$228)/Dati!$D$238)))),0)</f>
        <v>0.0250557557780629</v>
      </c>
      <c r="M44" s="81">
        <f>IF((IF(Dati!$D$238=3,(Dati!L158+Dati!N158+Dati!Y158+Dati!U158+Dati!V158+Dati!W158),(Dati!N158+Dati!Y158+Dati!V158+Dati!W158)/Dati!$D$238))&gt;0,((IF(Dati!$D$238=3,(Dati!R158+Dati!S158+Dati!AC158),(Dati!S158+Dati!AC158)/Dati!$D$238)/(IF(Dati!$D$238=3,(Dati!L158+Dati!N158+Dati!Y158+Dati!U158+Dati!V158+Dati!W158),(Dati!N158+Dati!Y158+Dati!V158+Dati!W158)/Dati!$D$238)))),0)</f>
        <v>0.8724372358049131</v>
      </c>
    </row>
    <row r="45" spans="1:13" ht="40.5" customHeight="1">
      <c r="A45" s="158" t="s">
        <v>799</v>
      </c>
      <c r="B45" s="168" t="s">
        <v>120</v>
      </c>
      <c r="C45" s="169"/>
      <c r="D45" s="52">
        <f>IF(Dati!$D$228&gt;0,(Dati!D159/Dati!$D$228),0)</f>
        <v>0.03460438121890752</v>
      </c>
      <c r="E45" s="52">
        <f>IF(Dati!$E$228&gt;0,(Dati!E159/Dati!$E$228),0)</f>
        <v>0.06583888750897396</v>
      </c>
      <c r="F45" s="52">
        <f>IF((Dati!D159-Dati!E159+Dati!K159)&gt;0,((Dati!J159)/(Dati!D159-Dati!E159+Dati!K159)),0)</f>
        <v>1</v>
      </c>
      <c r="G45" s="52">
        <f>IF(Dati!$F$228&gt;0,(Dati!F159/Dati!$F$228),0)</f>
        <v>0.025467435138380096</v>
      </c>
      <c r="H45" s="52">
        <f>IF(Dati!$G$228&gt;0,(Dati!G159/Dati!$G$228),0)</f>
        <v>0.08383641014397226</v>
      </c>
      <c r="I45" s="52">
        <f>IF(Dati!$H$228&gt;0,(Dati!H159/Dati!$H$228),0)</f>
        <v>0.009950390805236305</v>
      </c>
      <c r="J45" s="52">
        <f>IF(Dati!$I$228&gt;0,(Dati!I159/Dati!$I$228),0)</f>
        <v>0.08383637876167893</v>
      </c>
      <c r="K45" s="52">
        <f>IF((IF(Dati!$D$238=3,(Dati!$L$228+Dati!$M$228+Dati!$N$228+Dati!$O$228+Dati!$Y$228+Dati!$Q$228),(Dati!$N$228+Dati!$O$228+Dati!$Y$228+Dati!$Q$228))/Dati!$D$238)&gt;0,((IF(Dati!$D$238=3,(Dati!L159+Dati!M159+Dati!N159+Dati!O159+Dati!Y159+Dati!Q159),(Dati!N159+Dati!O159+Dati!Y159+Dati!Q159))/Dati!$D$238)/(IF(Dati!$D$238=3,(Dati!$L$228+Dati!$M$228+Dati!$N$228+Dati!$O$228+Dati!$Y$228+Dati!$Q$228),(Dati!$N$228+Dati!$O$228+Dati!$Y$228+Dati!$Q$228))/Dati!$D$238)),0)</f>
        <v>0.027018091654432707</v>
      </c>
      <c r="L45" s="81">
        <f>IF((IF(Dati!$D$238=3,(Dati!$M$228+Dati!$O$228+Dati!$Q$228),(Dati!$O$228+Dati!$Q$228)/Dati!$D$238))&gt;0,((IF(Dati!$D$238=3,(Dati!M159+Dati!O159+Dati!Q159),(Dati!O159+Dati!Q159)/Dati!$D$238)/(IF(Dati!$D$238=3,(Dati!$M$228+Dati!$O$228+Dati!$Q$228),(Dati!$O$228+Dati!$Q$228)/Dati!$D$238)))),0)</f>
        <v>0.10117838201225822</v>
      </c>
      <c r="M45" s="81">
        <f>IF((IF(Dati!$D$238=3,(Dati!L159+Dati!N159+Dati!Y159+Dati!U159+Dati!V159+Dati!W159),(Dati!N159+Dati!Y159+Dati!V159+Dati!W159)/Dati!$D$238))&gt;0,((IF(Dati!$D$238=3,(Dati!R159+Dati!S159+Dati!AC159),(Dati!S159+Dati!AC159)/Dati!$D$238)/(IF(Dati!$D$238=3,(Dati!L159+Dati!N159+Dati!Y159+Dati!U159+Dati!V159+Dati!W159),(Dati!N159+Dati!Y159+Dati!V159+Dati!W159)/Dati!$D$238)))),0)</f>
        <v>0.9255602167283306</v>
      </c>
    </row>
    <row r="46" spans="1:13" ht="12.75" customHeight="1">
      <c r="A46" s="160" t="s">
        <v>122</v>
      </c>
      <c r="B46" s="74" t="s">
        <v>778</v>
      </c>
      <c r="C46" s="75" t="s">
        <v>527</v>
      </c>
      <c r="D46" s="52">
        <f>IF(Dati!$D$228&gt;0,(Dati!D160/Dati!$D$228),0)</f>
        <v>0.004088468137370303</v>
      </c>
      <c r="E46" s="52">
        <f>IF(Dati!$E$228&gt;0,(Dati!E160/Dati!$E$228),0)</f>
        <v>0</v>
      </c>
      <c r="F46" s="52">
        <f>IF((Dati!D160-Dati!E160+Dati!K160)&gt;0,((Dati!J160)/(Dati!D160-Dati!E160+Dati!K160)),0)</f>
        <v>1</v>
      </c>
      <c r="G46" s="52">
        <f>IF(Dati!$F$228&gt;0,(Dati!F160/Dati!$F$228),0)</f>
        <v>0.0002624886089062774</v>
      </c>
      <c r="H46" s="52">
        <f>IF(Dati!$G$228&gt;0,(Dati!G160/Dati!$G$228),0)</f>
        <v>0</v>
      </c>
      <c r="I46" s="52">
        <f>IF(Dati!$H$228&gt;0,(Dati!H160/Dati!$H$228),0)</f>
        <v>0.00017755218073650647</v>
      </c>
      <c r="J46" s="52">
        <f>IF(Dati!$I$228&gt;0,(Dati!I160/Dati!$I$228),0)</f>
        <v>0</v>
      </c>
      <c r="K46" s="52">
        <f>IF((IF(Dati!$D$238=3,(Dati!$L$228+Dati!$M$228+Dati!$N$228+Dati!$O$228+Dati!$Y$228+Dati!$Q$228),(Dati!$N$228+Dati!$O$228+Dati!$Y$228+Dati!$Q$228))/Dati!$D$238)&gt;0,((IF(Dati!$D$238=3,(Dati!L160+Dati!M160+Dati!N160+Dati!O160+Dati!Y160+Dati!Q160),(Dati!N160+Dati!O160+Dati!Y160+Dati!Q160))/Dati!$D$238)/(IF(Dati!$D$238=3,(Dati!$L$228+Dati!$M$228+Dati!$N$228+Dati!$O$228+Dati!$Y$228+Dati!$Q$228),(Dati!$N$228+Dati!$O$228+Dati!$Y$228+Dati!$Q$228))/Dati!$D$238)),0)</f>
        <v>0.003012137937176473</v>
      </c>
      <c r="L46" s="81">
        <f>IF((IF(Dati!$D$238=3,(Dati!$M$228+Dati!$O$228+Dati!$Q$228),(Dati!$O$228+Dati!$Q$228)/Dati!$D$238))&gt;0,((IF(Dati!$D$238=3,(Dati!M160+Dati!O160+Dati!Q160),(Dati!O160+Dati!Q160)/Dati!$D$238)/(IF(Dati!$D$238=3,(Dati!$M$228+Dati!$O$228+Dati!$Q$228),(Dati!$O$228+Dati!$Q$228)/Dati!$D$238)))),0)</f>
        <v>0.020872068112049245</v>
      </c>
      <c r="M46" s="81">
        <f>IF((IF(Dati!$D$238=3,(Dati!L160+Dati!N160+Dati!Y160+Dati!U160+Dati!V160+Dati!W160),(Dati!N160+Dati!Y160+Dati!V160+Dati!W160)/Dati!$D$238))&gt;0,((IF(Dati!$D$238=3,(Dati!R160+Dati!S160+Dati!AC160),(Dati!S160+Dati!AC160)/Dati!$D$238)/(IF(Dati!$D$238=3,(Dati!L160+Dati!N160+Dati!Y160+Dati!U160+Dati!V160+Dati!W160),(Dati!N160+Dati!Y160+Dati!V160+Dati!W160)/Dati!$D$238)))),0)</f>
        <v>0.9998613733016901</v>
      </c>
    </row>
    <row r="47" spans="1:13" ht="24.75" customHeight="1">
      <c r="A47" s="158" t="s">
        <v>800</v>
      </c>
      <c r="B47" s="77" t="s">
        <v>790</v>
      </c>
      <c r="C47" s="58" t="s">
        <v>123</v>
      </c>
      <c r="D47" s="52">
        <f>IF(Dati!$D$228&gt;0,(Dati!D161/Dati!$D$228),0)</f>
        <v>0.15861641984989494</v>
      </c>
      <c r="E47" s="52">
        <f>IF(Dati!$E$228&gt;0,(Dati!E161/Dati!$E$228),0)</f>
        <v>0.0223734384895217</v>
      </c>
      <c r="F47" s="52">
        <f>IF((Dati!D161-Dati!E161+Dati!K161)&gt;0,((Dati!J161)/(Dati!D161-Dati!E161+Dati!K161)),0)</f>
        <v>1</v>
      </c>
      <c r="G47" s="52">
        <f>IF(Dati!$F$228&gt;0,(Dati!F161/Dati!$F$228),0)</f>
        <v>0.309448961562233</v>
      </c>
      <c r="H47" s="52">
        <f>IF(Dati!$G$228&gt;0,(Dati!G161/Dati!$G$228),0)</f>
        <v>0.028294116760282095</v>
      </c>
      <c r="I47" s="52">
        <f>IF(Dati!$H$228&gt;0,(Dati!H161/Dati!$H$228),0)</f>
        <v>0.21808897384556958</v>
      </c>
      <c r="J47" s="52">
        <f>IF(Dati!$I$228&gt;0,(Dati!I161/Dati!$I$228),0)</f>
        <v>0.028294106169009514</v>
      </c>
      <c r="K47" s="52">
        <f>IF((IF(Dati!$D$238=3,(Dati!$L$228+Dati!$M$228+Dati!$N$228+Dati!$O$228+Dati!$Y$228+Dati!$Q$228),(Dati!$N$228+Dati!$O$228+Dati!$Y$228+Dati!$Q$228))/Dati!$D$238)&gt;0,((IF(Dati!$D$238=3,(Dati!L161+Dati!M161+Dati!N161+Dati!O161+Dati!Y161+Dati!Q161),(Dati!N161+Dati!O161+Dati!Y161+Dati!Q161))/Dati!$D$238)/(IF(Dati!$D$238=3,(Dati!$L$228+Dati!$M$228+Dati!$N$228+Dati!$O$228+Dati!$Y$228+Dati!$Q$228),(Dati!$N$228+Dati!$O$228+Dati!$Y$228+Dati!$Q$228))/Dati!$D$238)),0)</f>
        <v>0.019982489713130012</v>
      </c>
      <c r="L47" s="81">
        <f>IF((IF(Dati!$D$238=3,(Dati!$M$228+Dati!$O$228+Dati!$Q$228),(Dati!$O$228+Dati!$Q$228)/Dati!$D$238))&gt;0,((IF(Dati!$D$238=3,(Dati!M161+Dati!O161+Dati!Q161),(Dati!O161+Dati!Q161)/Dati!$D$238)/(IF(Dati!$D$238=3,(Dati!$M$228+Dati!$O$228+Dati!$Q$228),(Dati!$O$228+Dati!$Q$228)/Dati!$D$238)))),0)</f>
        <v>0.08179190606840558</v>
      </c>
      <c r="M47" s="81">
        <f>IF((IF(Dati!$D$238=3,(Dati!L161+Dati!N161+Dati!Y161+Dati!U161+Dati!V161+Dati!W161),(Dati!N161+Dati!Y161+Dati!V161+Dati!W161)/Dati!$D$238))&gt;0,((IF(Dati!$D$238=3,(Dati!R161+Dati!S161+Dati!AC161),(Dati!S161+Dati!AC161)/Dati!$D$238)/(IF(Dati!$D$238=3,(Dati!L161+Dati!N161+Dati!Y161+Dati!U161+Dati!V161+Dati!W161),(Dati!N161+Dati!Y161+Dati!V161+Dati!W161)/Dati!$D$238)))),0)</f>
        <v>0.8282703338983283</v>
      </c>
    </row>
    <row r="48" spans="1:13" ht="12" customHeight="1">
      <c r="A48" s="158" t="s">
        <v>800</v>
      </c>
      <c r="B48" s="74" t="s">
        <v>801</v>
      </c>
      <c r="C48" s="75" t="s">
        <v>531</v>
      </c>
      <c r="D48" s="52">
        <f>IF(Dati!$D$228&gt;0,(Dati!D162/Dati!$D$228),0)</f>
        <v>0.08548735603659609</v>
      </c>
      <c r="E48" s="52">
        <f>IF(Dati!$E$228&gt;0,(Dati!E162/Dati!$E$228),0)</f>
        <v>0.003778217762288655</v>
      </c>
      <c r="F48" s="52">
        <f>IF((Dati!D162-Dati!E162+Dati!K162)&gt;0,((Dati!J162)/(Dati!D162-Dati!E162+Dati!K162)),0)</f>
        <v>1</v>
      </c>
      <c r="G48" s="52">
        <f>IF(Dati!$F$228&gt;0,(Dati!F162/Dati!$F$228),0)</f>
        <v>0.08676744121606422</v>
      </c>
      <c r="H48" s="52">
        <f>IF(Dati!$G$228&gt;0,(Dati!G162/Dati!$G$228),0)</f>
        <v>0.004644217861136133</v>
      </c>
      <c r="I48" s="52">
        <f>IF(Dati!$H$228&gt;0,(Dati!H162/Dati!$H$228),0)</f>
        <v>0.08828103550839318</v>
      </c>
      <c r="J48" s="52">
        <f>IF(Dati!$I$228&gt;0,(Dati!I162/Dati!$I$228),0)</f>
        <v>0.00464421612267659</v>
      </c>
      <c r="K48" s="52">
        <f>IF((IF(Dati!$D$238=3,(Dati!$L$228+Dati!$M$228+Dati!$N$228+Dati!$O$228+Dati!$Y$228+Dati!$Q$228),(Dati!$N$228+Dati!$O$228+Dati!$Y$228+Dati!$Q$228))/Dati!$D$238)&gt;0,((IF(Dati!$D$238=3,(Dati!L162+Dati!M162+Dati!N162+Dati!O162+Dati!Y162+Dati!Q162),(Dati!N162+Dati!O162+Dati!Y162+Dati!Q162))/Dati!$D$238)/(IF(Dati!$D$238=3,(Dati!$L$228+Dati!$M$228+Dati!$N$228+Dati!$O$228+Dati!$Y$228+Dati!$Q$228),(Dati!$N$228+Dati!$O$228+Dati!$Y$228+Dati!$Q$228))/Dati!$D$238)),0)</f>
        <v>0.10853008070887134</v>
      </c>
      <c r="L48" s="81">
        <f>IF((IF(Dati!$D$238=3,(Dati!$M$228+Dati!$O$228+Dati!$Q$228),(Dati!$O$228+Dati!$Q$228)/Dati!$D$238))&gt;0,((IF(Dati!$D$238=3,(Dati!M162+Dati!O162+Dati!Q162),(Dati!O162+Dati!Q162)/Dati!$D$238)/(IF(Dati!$D$238=3,(Dati!$M$228+Dati!$O$228+Dati!$Q$228),(Dati!$O$228+Dati!$Q$228)/Dati!$D$238)))),0)</f>
        <v>0.04623409741648589</v>
      </c>
      <c r="M48" s="81">
        <f>IF((IF(Dati!$D$238=3,(Dati!L162+Dati!N162+Dati!Y162+Dati!U162+Dati!V162+Dati!W162),(Dati!N162+Dati!Y162+Dati!V162+Dati!W162)/Dati!$D$238))&gt;0,((IF(Dati!$D$238=3,(Dati!R162+Dati!S162+Dati!AC162),(Dati!S162+Dati!AC162)/Dati!$D$238)/(IF(Dati!$D$238=3,(Dati!L162+Dati!N162+Dati!Y162+Dati!U162+Dati!V162+Dati!W162),(Dati!N162+Dati!Y162+Dati!V162+Dati!W162)/Dati!$D$238)))),0)</f>
        <v>0.8962819047956615</v>
      </c>
    </row>
    <row r="49" spans="1:13" ht="12" customHeight="1">
      <c r="A49" s="158" t="s">
        <v>800</v>
      </c>
      <c r="B49" s="74" t="s">
        <v>792</v>
      </c>
      <c r="C49" s="75" t="s">
        <v>533</v>
      </c>
      <c r="D49" s="52">
        <f>IF(Dati!$D$228&gt;0,(Dati!D163/Dati!$D$228),0)</f>
        <v>0.000989214372661941</v>
      </c>
      <c r="E49" s="52">
        <f>IF(Dati!$E$228&gt;0,(Dati!E163/Dati!$E$228),0)</f>
        <v>0</v>
      </c>
      <c r="F49" s="52">
        <f>IF((Dati!D163-Dati!E163+Dati!K163)&gt;0,((Dati!J163)/(Dati!D163-Dati!E163+Dati!K163)),0)</f>
        <v>0.9999999999999998</v>
      </c>
      <c r="G49" s="52">
        <f>IF(Dati!$F$228&gt;0,(Dati!F163/Dati!$F$228),0)</f>
        <v>0.001284934130515245</v>
      </c>
      <c r="H49" s="52">
        <f>IF(Dati!$G$228&gt;0,(Dati!G163/Dati!$G$228),0)</f>
        <v>0</v>
      </c>
      <c r="I49" s="52">
        <f>IF(Dati!$H$228&gt;0,(Dati!H163/Dati!$H$228),0)</f>
        <v>0.0007152363042220304</v>
      </c>
      <c r="J49" s="52">
        <f>IF(Dati!$I$228&gt;0,(Dati!I163/Dati!$I$228),0)</f>
        <v>0</v>
      </c>
      <c r="K49" s="52">
        <f>IF((IF(Dati!$D$238=3,(Dati!$L$228+Dati!$M$228+Dati!$N$228+Dati!$O$228+Dati!$Y$228+Dati!$Q$228),(Dati!$N$228+Dati!$O$228+Dati!$Y$228+Dati!$Q$228))/Dati!$D$238)&gt;0,((IF(Dati!$D$238=3,(Dati!L163+Dati!M163+Dati!N163+Dati!O163+Dati!Y163+Dati!Q163),(Dati!N163+Dati!O163+Dati!Y163+Dati!Q163))/Dati!$D$238)/(IF(Dati!$D$238=3,(Dati!$L$228+Dati!$M$228+Dati!$N$228+Dati!$O$228+Dati!$Y$228+Dati!$Q$228),(Dati!$N$228+Dati!$O$228+Dati!$Y$228+Dati!$Q$228))/Dati!$D$238)),0)</f>
        <v>0.0009433515149523935</v>
      </c>
      <c r="L49" s="81">
        <f>IF((IF(Dati!$D$238=3,(Dati!$M$228+Dati!$O$228+Dati!$Q$228),(Dati!$O$228+Dati!$Q$228)/Dati!$D$238))&gt;0,((IF(Dati!$D$238=3,(Dati!M163+Dati!O163+Dati!Q163),(Dati!O163+Dati!Q163)/Dati!$D$238)/(IF(Dati!$D$238=3,(Dati!$M$228+Dati!$O$228+Dati!$Q$228),(Dati!$O$228+Dati!$Q$228)/Dati!$D$238)))),0)</f>
        <v>0</v>
      </c>
      <c r="M49" s="81">
        <f>IF((IF(Dati!$D$238=3,(Dati!L163+Dati!N163+Dati!Y163+Dati!U163+Dati!V163+Dati!W163),(Dati!N163+Dati!Y163+Dati!V163+Dati!W163)/Dati!$D$238))&gt;0,((IF(Dati!$D$238=3,(Dati!R163+Dati!S163+Dati!AC163),(Dati!S163+Dati!AC163)/Dati!$D$238)/(IF(Dati!$D$238=3,(Dati!L163+Dati!N163+Dati!Y163+Dati!U163+Dati!V163+Dati!W163),(Dati!N163+Dati!Y163+Dati!V163+Dati!W163)/Dati!$D$238)))),0)</f>
        <v>0.9916981340146758</v>
      </c>
    </row>
    <row r="50" spans="1:13" ht="45.75" customHeight="1">
      <c r="A50" s="158" t="s">
        <v>800</v>
      </c>
      <c r="B50" s="77" t="s">
        <v>782</v>
      </c>
      <c r="C50" s="58" t="s">
        <v>124</v>
      </c>
      <c r="D50" s="52">
        <f>IF(Dati!$D$228&gt;0,(Dati!D164/Dati!$D$228),0)</f>
        <v>0.011061207611126476</v>
      </c>
      <c r="E50" s="52">
        <f>IF(Dati!$E$228&gt;0,(Dati!E164/Dati!$E$228),0)</f>
        <v>0</v>
      </c>
      <c r="F50" s="52">
        <f>IF((Dati!D164-Dati!E164+Dati!K164)&gt;0,((Dati!J164)/(Dati!D164-Dati!E164+Dati!K164)),0)</f>
        <v>0.9999999999999999</v>
      </c>
      <c r="G50" s="52">
        <f>IF(Dati!$F$228&gt;0,(Dati!F164/Dati!$F$228),0)</f>
        <v>0.006616929024941685</v>
      </c>
      <c r="H50" s="52">
        <f>IF(Dati!$G$228&gt;0,(Dati!G164/Dati!$G$228),0)</f>
        <v>0</v>
      </c>
      <c r="I50" s="52">
        <f>IF(Dati!$H$228&gt;0,(Dati!H164/Dati!$H$228),0)</f>
        <v>0.008409405205508461</v>
      </c>
      <c r="J50" s="52">
        <f>IF(Dati!$I$228&gt;0,(Dati!I164/Dati!$I$228),0)</f>
        <v>0</v>
      </c>
      <c r="K50" s="52">
        <f>IF((IF(Dati!$D$238=3,(Dati!$L$228+Dati!$M$228+Dati!$N$228+Dati!$O$228+Dati!$Y$228+Dati!$Q$228),(Dati!$N$228+Dati!$O$228+Dati!$Y$228+Dati!$Q$228))/Dati!$D$238)&gt;0,((IF(Dati!$D$238=3,(Dati!L164+Dati!M164+Dati!N164+Dati!O164+Dati!Y164+Dati!Q164),(Dati!N164+Dati!O164+Dati!Y164+Dati!Q164))/Dati!$D$238)/(IF(Dati!$D$238=3,(Dati!$L$228+Dati!$M$228+Dati!$N$228+Dati!$O$228+Dati!$Y$228+Dati!$Q$228),(Dati!$N$228+Dati!$O$228+Dati!$Y$228+Dati!$Q$228))/Dati!$D$238)),0)</f>
        <v>0.020058336008177614</v>
      </c>
      <c r="L50" s="81">
        <f>IF((IF(Dati!$D$238=3,(Dati!$M$228+Dati!$O$228+Dati!$Q$228),(Dati!$O$228+Dati!$Q$228)/Dati!$D$238))&gt;0,((IF(Dati!$D$238=3,(Dati!M164+Dati!O164+Dati!Q164),(Dati!O164+Dati!Q164)/Dati!$D$238)/(IF(Dati!$D$238=3,(Dati!$M$228+Dati!$O$228+Dati!$Q$228),(Dati!$O$228+Dati!$Q$228)/Dati!$D$238)))),0)</f>
        <v>0.036478286511858124</v>
      </c>
      <c r="M50" s="81">
        <f>IF((IF(Dati!$D$238=3,(Dati!L164+Dati!N164+Dati!Y164+Dati!U164+Dati!V164+Dati!W164),(Dati!N164+Dati!Y164+Dati!V164+Dati!W164)/Dati!$D$238))&gt;0,((IF(Dati!$D$238=3,(Dati!R164+Dati!S164+Dati!AC164),(Dati!S164+Dati!AC164)/Dati!$D$238)/(IF(Dati!$D$238=3,(Dati!L164+Dati!N164+Dati!Y164+Dati!U164+Dati!V164+Dati!W164),(Dati!N164+Dati!Y164+Dati!V164+Dati!W164)/Dati!$D$238)))),0)</f>
        <v>0.8797907470322761</v>
      </c>
    </row>
    <row r="51" spans="1:13" ht="33.75" customHeight="1">
      <c r="A51" s="158" t="s">
        <v>800</v>
      </c>
      <c r="B51" s="77" t="s">
        <v>802</v>
      </c>
      <c r="C51" s="58" t="s">
        <v>125</v>
      </c>
      <c r="D51" s="52">
        <f>IF(Dati!$D$228&gt;0,(Dati!D165/Dati!$D$228),0)</f>
        <v>0</v>
      </c>
      <c r="E51" s="52">
        <f>IF(Dati!$E$228&gt;0,(Dati!E165/Dati!$E$228),0)</f>
        <v>0</v>
      </c>
      <c r="F51" s="52">
        <f>IF((Dati!D165-Dati!E165+Dati!K165)&gt;0,((Dati!J165)/(Dati!D165-Dati!E165+Dati!K165)),0)</f>
        <v>0</v>
      </c>
      <c r="G51" s="52">
        <f>IF(Dati!$F$228&gt;0,(Dati!F165/Dati!$F$228),0)</f>
        <v>0</v>
      </c>
      <c r="H51" s="52">
        <f>IF(Dati!$G$228&gt;0,(Dati!G165/Dati!$G$228),0)</f>
        <v>0</v>
      </c>
      <c r="I51" s="52">
        <f>IF(Dati!$H$228&gt;0,(Dati!H165/Dati!$H$228),0)</f>
        <v>0</v>
      </c>
      <c r="J51" s="52">
        <f>IF(Dati!$I$228&gt;0,(Dati!I165/Dati!$I$228),0)</f>
        <v>0</v>
      </c>
      <c r="K51" s="52">
        <f>IF((IF(Dati!$D$238=3,(Dati!$L$228+Dati!$M$228+Dati!$N$228+Dati!$O$228+Dati!$Y$228+Dati!$Q$228),(Dati!$N$228+Dati!$O$228+Dati!$Y$228+Dati!$Q$228))/Dati!$D$238)&gt;0,((IF(Dati!$D$238=3,(Dati!L165+Dati!M165+Dati!N165+Dati!O165+Dati!Y165+Dati!Q165),(Dati!N165+Dati!O165+Dati!Y165+Dati!Q165))/Dati!$D$238)/(IF(Dati!$D$238=3,(Dati!$L$228+Dati!$M$228+Dati!$N$228+Dati!$O$228+Dati!$Y$228+Dati!$Q$228),(Dati!$N$228+Dati!$O$228+Dati!$Y$228+Dati!$Q$228))/Dati!$D$238)),0)</f>
        <v>0.0013055804526735093</v>
      </c>
      <c r="L51" s="81">
        <f>IF((IF(Dati!$D$238=3,(Dati!$M$228+Dati!$O$228+Dati!$Q$228),(Dati!$O$228+Dati!$Q$228)/Dati!$D$238))&gt;0,((IF(Dati!$D$238=3,(Dati!M165+Dati!O165+Dati!Q165),(Dati!O165+Dati!Q165)/Dati!$D$238)/(IF(Dati!$D$238=3,(Dati!$M$228+Dati!$O$228+Dati!$Q$228),(Dati!$O$228+Dati!$Q$228)/Dati!$D$238)))),0)</f>
        <v>0.00871577114117546</v>
      </c>
      <c r="M51" s="81">
        <f>IF((IF(Dati!$D$238=3,(Dati!L165+Dati!N165+Dati!Y165+Dati!U165+Dati!V165+Dati!W165),(Dati!N165+Dati!Y165+Dati!V165+Dati!W165)/Dati!$D$238))&gt;0,((IF(Dati!$D$238=3,(Dati!R165+Dati!S165+Dati!AC165),(Dati!S165+Dati!AC165)/Dati!$D$238)/(IF(Dati!$D$238=3,(Dati!L165+Dati!N165+Dati!Y165+Dati!U165+Dati!V165+Dati!W165),(Dati!N165+Dati!Y165+Dati!V165+Dati!W165)/Dati!$D$238)))),0)</f>
        <v>0.5439055980277215</v>
      </c>
    </row>
    <row r="52" spans="1:13" ht="30.75" customHeight="1">
      <c r="A52" s="158" t="s">
        <v>800</v>
      </c>
      <c r="B52" s="77" t="s">
        <v>784</v>
      </c>
      <c r="C52" s="58" t="s">
        <v>126</v>
      </c>
      <c r="D52" s="52">
        <f>IF(Dati!$D$228&gt;0,(Dati!D166/Dati!$D$228),0)</f>
        <v>0</v>
      </c>
      <c r="E52" s="52">
        <f>IF(Dati!$E$228&gt;0,(Dati!E166/Dati!$E$228),0)</f>
        <v>0</v>
      </c>
      <c r="F52" s="52">
        <f>IF((Dati!D166-Dati!E166+Dati!K166)&gt;0,((Dati!J166)/(Dati!D166-Dati!E166+Dati!K166)),0)</f>
        <v>0</v>
      </c>
      <c r="G52" s="52">
        <f>IF(Dati!$F$228&gt;0,(Dati!F166/Dati!$F$228),0)</f>
        <v>0</v>
      </c>
      <c r="H52" s="52">
        <f>IF(Dati!$G$228&gt;0,(Dati!G166/Dati!$G$228),0)</f>
        <v>0</v>
      </c>
      <c r="I52" s="52">
        <f>IF(Dati!$H$228&gt;0,(Dati!H166/Dati!$H$228),0)</f>
        <v>0</v>
      </c>
      <c r="J52" s="52">
        <f>IF(Dati!$I$228&gt;0,(Dati!I166/Dati!$I$228),0)</f>
        <v>0</v>
      </c>
      <c r="K52" s="52">
        <f>IF((IF(Dati!$D$238=3,(Dati!$L$228+Dati!$M$228+Dati!$N$228+Dati!$O$228+Dati!$Y$228+Dati!$Q$228),(Dati!$N$228+Dati!$O$228+Dati!$Y$228+Dati!$Q$228))/Dati!$D$238)&gt;0,((IF(Dati!$D$238=3,(Dati!L166+Dati!M166+Dati!N166+Dati!O166+Dati!Y166+Dati!Q166),(Dati!N166+Dati!O166+Dati!Y166+Dati!Q166))/Dati!$D$238)/(IF(Dati!$D$238=3,(Dati!$L$228+Dati!$M$228+Dati!$N$228+Dati!$O$228+Dati!$Y$228+Dati!$Q$228),(Dati!$N$228+Dati!$O$228+Dati!$Y$228+Dati!$Q$228))/Dati!$D$238)),0)</f>
        <v>0</v>
      </c>
      <c r="L52" s="81">
        <f>IF((IF(Dati!$D$238=3,(Dati!$M$228+Dati!$O$228+Dati!$Q$228),(Dati!$O$228+Dati!$Q$228)/Dati!$D$238))&gt;0,((IF(Dati!$D$238=3,(Dati!M166+Dati!O166+Dati!Q166),(Dati!O166+Dati!Q166)/Dati!$D$238)/(IF(Dati!$D$238=3,(Dati!$M$228+Dati!$O$228+Dati!$Q$228),(Dati!$O$228+Dati!$Q$228)/Dati!$D$238)))),0)</f>
        <v>0</v>
      </c>
      <c r="M52" s="81">
        <f>IF((IF(Dati!$D$238=3,(Dati!L166+Dati!N166+Dati!Y166+Dati!U166+Dati!V166+Dati!W166),(Dati!N166+Dati!Y166+Dati!V166+Dati!W166)/Dati!$D$238))&gt;0,((IF(Dati!$D$238=3,(Dati!R166+Dati!S166+Dati!AC166),(Dati!S166+Dati!AC166)/Dati!$D$238)/(IF(Dati!$D$238=3,(Dati!L166+Dati!N166+Dati!Y166+Dati!U166+Dati!V166+Dati!W166),(Dati!N166+Dati!Y166+Dati!V166+Dati!W166)/Dati!$D$238)))),0)</f>
        <v>0</v>
      </c>
    </row>
    <row r="53" spans="1:13" ht="30" customHeight="1">
      <c r="A53" s="158" t="s">
        <v>800</v>
      </c>
      <c r="B53" s="77" t="s">
        <v>803</v>
      </c>
      <c r="C53" s="58" t="s">
        <v>127</v>
      </c>
      <c r="D53" s="52">
        <f>IF(Dati!$D$228&gt;0,(Dati!D167/Dati!$D$228),0)</f>
        <v>0</v>
      </c>
      <c r="E53" s="52">
        <f>IF(Dati!$E$228&gt;0,(Dati!E167/Dati!$E$228),0)</f>
        <v>0</v>
      </c>
      <c r="F53" s="52">
        <f>IF((Dati!D167-Dati!E167+Dati!K167)&gt;0,((Dati!J167)/(Dati!D167-Dati!E167+Dati!K167)),0)</f>
        <v>0</v>
      </c>
      <c r="G53" s="52">
        <f>IF(Dati!$F$228&gt;0,(Dati!F167/Dati!$F$228),0)</f>
        <v>0</v>
      </c>
      <c r="H53" s="52">
        <f>IF(Dati!$G$228&gt;0,(Dati!G167/Dati!$G$228),0)</f>
        <v>0</v>
      </c>
      <c r="I53" s="52">
        <f>IF(Dati!$H$228&gt;0,(Dati!H167/Dati!$H$228),0)</f>
        <v>0</v>
      </c>
      <c r="J53" s="52">
        <f>IF(Dati!$I$228&gt;0,(Dati!I167/Dati!$I$228),0)</f>
        <v>0</v>
      </c>
      <c r="K53" s="52">
        <f>IF((IF(Dati!$D$238=3,(Dati!$L$228+Dati!$M$228+Dati!$N$228+Dati!$O$228+Dati!$Y$228+Dati!$Q$228),(Dati!$N$228+Dati!$O$228+Dati!$Y$228+Dati!$Q$228))/Dati!$D$238)&gt;0,((IF(Dati!$D$238=3,(Dati!L167+Dati!M167+Dati!N167+Dati!O167+Dati!Y167+Dati!Q167),(Dati!N167+Dati!O167+Dati!Y167+Dati!Q167))/Dati!$D$238)/(IF(Dati!$D$238=3,(Dati!$L$228+Dati!$M$228+Dati!$N$228+Dati!$O$228+Dati!$Y$228+Dati!$Q$228),(Dati!$N$228+Dati!$O$228+Dati!$Y$228+Dati!$Q$228))/Dati!$D$238)),0)</f>
        <v>0.0010051239692069201</v>
      </c>
      <c r="L53" s="81">
        <f>IF((IF(Dati!$D$238=3,(Dati!$M$228+Dati!$O$228+Dati!$Q$228),(Dati!$O$228+Dati!$Q$228)/Dati!$D$238))&gt;0,((IF(Dati!$D$238=3,(Dati!M167+Dati!O167+Dati!Q167),(Dati!O167+Dati!Q167)/Dati!$D$238)/(IF(Dati!$D$238=3,(Dati!$M$228+Dati!$O$228+Dati!$Q$228),(Dati!$O$228+Dati!$Q$228)/Dati!$D$238)))),0)</f>
        <v>5.6894548133268525E-05</v>
      </c>
      <c r="M53" s="81">
        <f>IF((IF(Dati!$D$238=3,(Dati!L167+Dati!N167+Dati!Y167+Dati!U167+Dati!V167+Dati!W167),(Dati!N167+Dati!Y167+Dati!V167+Dati!W167)/Dati!$D$238))&gt;0,((IF(Dati!$D$238=3,(Dati!R167+Dati!S167+Dati!AC167),(Dati!S167+Dati!AC167)/Dati!$D$238)/(IF(Dati!$D$238=3,(Dati!L167+Dati!N167+Dati!Y167+Dati!U167+Dati!V167+Dati!W167),(Dati!N167+Dati!Y167+Dati!V167+Dati!W167)/Dati!$D$238)))),0)</f>
        <v>0.5698698823974988</v>
      </c>
    </row>
    <row r="54" spans="1:13" ht="47.25" customHeight="1">
      <c r="A54" s="158" t="s">
        <v>800</v>
      </c>
      <c r="B54" s="169" t="s">
        <v>128</v>
      </c>
      <c r="C54" s="169"/>
      <c r="D54" s="52">
        <f>IF(Dati!$D$228&gt;0,(Dati!D168/Dati!$D$228),0)</f>
        <v>0.2602426660076498</v>
      </c>
      <c r="E54" s="52">
        <f>IF(Dati!$E$228&gt;0,(Dati!E168/Dati!$E$228),0)</f>
        <v>0.026151656251810353</v>
      </c>
      <c r="F54" s="52">
        <f>IF((Dati!D168-Dati!E168+Dati!K168)&gt;0,((Dati!J168)/(Dati!D168-Dati!E168+Dati!K168)),0)</f>
        <v>1</v>
      </c>
      <c r="G54" s="52">
        <f>IF(Dati!$F$228&gt;0,(Dati!F168/Dati!$F$228),0)</f>
        <v>0.4043807545426604</v>
      </c>
      <c r="H54" s="52">
        <f>IF(Dati!$G$228&gt;0,(Dati!G168/Dati!$G$228),0)</f>
        <v>0.03293833462141823</v>
      </c>
      <c r="I54" s="52">
        <f>IF(Dati!$H$228&gt;0,(Dati!H168/Dati!$H$228),0)</f>
        <v>0.3156722030444298</v>
      </c>
      <c r="J54" s="52">
        <f>IF(Dati!$I$228&gt;0,(Dati!I168/Dati!$I$228),0)</f>
        <v>0.032938322291686105</v>
      </c>
      <c r="K54" s="52">
        <f>IF((IF(Dati!$D$238=3,(Dati!$L$228+Dati!$M$228+Dati!$N$228+Dati!$O$228+Dati!$Y$228+Dati!$Q$228),(Dati!$N$228+Dati!$O$228+Dati!$Y$228+Dati!$Q$228))/Dati!$D$238)&gt;0,((IF(Dati!$D$238=3,(Dati!L168+Dati!M168+Dati!N168+Dati!O168+Dati!Y168+Dati!Q168),(Dati!N168+Dati!O168+Dati!Y168+Dati!Q168))/Dati!$D$238)/(IF(Dati!$D$238=3,(Dati!$L$228+Dati!$M$228+Dati!$N$228+Dati!$O$228+Dati!$Y$228+Dati!$Q$228),(Dati!$N$228+Dati!$O$228+Dati!$Y$228+Dati!$Q$228))/Dati!$D$238)),0)</f>
        <v>0.15483710030418824</v>
      </c>
      <c r="L54" s="81">
        <f>IF((IF(Dati!$D$238=3,(Dati!$M$228+Dati!$O$228+Dati!$Q$228),(Dati!$O$228+Dati!$Q$228)/Dati!$D$238))&gt;0,((IF(Dati!$D$238=3,(Dati!M168+Dati!O168+Dati!Q168),(Dati!O168+Dati!Q168)/Dati!$D$238)/(IF(Dati!$D$238=3,(Dati!$M$228+Dati!$O$228+Dati!$Q$228),(Dati!$O$228+Dati!$Q$228)/Dati!$D$238)))),0)</f>
        <v>0.19414902379810758</v>
      </c>
      <c r="M54" s="81">
        <f>IF((IF(Dati!$D$238=3,(Dati!L168+Dati!N168+Dati!Y168+Dati!U168+Dati!V168+Dati!W168),(Dati!N168+Dati!Y168+Dati!V168+Dati!W168)/Dati!$D$238))&gt;0,((IF(Dati!$D$238=3,(Dati!R168+Dati!S168+Dati!AC168),(Dati!S168+Dati!AC168)/Dati!$D$238)/(IF(Dati!$D$238=3,(Dati!L168+Dati!N168+Dati!Y168+Dati!U168+Dati!V168+Dati!W168),(Dati!N168+Dati!Y168+Dati!V168+Dati!W168)/Dati!$D$238)))),0)</f>
        <v>0.8815444250873955</v>
      </c>
    </row>
    <row r="55" spans="1:13" ht="18.75" customHeight="1">
      <c r="A55" s="160" t="s">
        <v>129</v>
      </c>
      <c r="B55" s="74" t="s">
        <v>778</v>
      </c>
      <c r="C55" s="75" t="s">
        <v>545</v>
      </c>
      <c r="D55" s="52">
        <f>IF(Dati!$D$228&gt;0,(Dati!D169/Dati!$D$228),0)</f>
        <v>0</v>
      </c>
      <c r="E55" s="52">
        <f>IF(Dati!$E$228&gt;0,(Dati!E169/Dati!$E$228),0)</f>
        <v>0</v>
      </c>
      <c r="F55" s="52">
        <f>IF((Dati!D169-Dati!E169+Dati!K169)&gt;0,((Dati!J169)/(Dati!D169-Dati!E169+Dati!K169)),0)</f>
        <v>0</v>
      </c>
      <c r="G55" s="52">
        <f>IF(Dati!$F$228&gt;0,(Dati!F169/Dati!$F$228),0)</f>
        <v>0</v>
      </c>
      <c r="H55" s="52">
        <f>IF(Dati!$G$228&gt;0,(Dati!G169/Dati!$G$228),0)</f>
        <v>0</v>
      </c>
      <c r="I55" s="52">
        <f>IF(Dati!$H$228&gt;0,(Dati!H169/Dati!$H$228),0)</f>
        <v>0</v>
      </c>
      <c r="J55" s="52">
        <f>IF(Dati!$I$228&gt;0,(Dati!I169/Dati!$I$228),0)</f>
        <v>0</v>
      </c>
      <c r="K55" s="52">
        <f>IF((IF(Dati!$D$238=3,(Dati!$L$228+Dati!$M$228+Dati!$N$228+Dati!$O$228+Dati!$Y$228+Dati!$Q$228),(Dati!$N$228+Dati!$O$228+Dati!$Y$228+Dati!$Q$228))/Dati!$D$238)&gt;0,((IF(Dati!$D$238=3,(Dati!L169+Dati!M169+Dati!N169+Dati!O169+Dati!Y169+Dati!Q169),(Dati!N169+Dati!O169+Dati!Y169+Dati!Q169))/Dati!$D$238)/(IF(Dati!$D$238=3,(Dati!$L$228+Dati!$M$228+Dati!$N$228+Dati!$O$228+Dati!$Y$228+Dati!$Q$228),(Dati!$N$228+Dati!$O$228+Dati!$Y$228+Dati!$Q$228))/Dati!$D$238)),0)</f>
        <v>0</v>
      </c>
      <c r="L55" s="81">
        <f>IF((IF(Dati!$D$238=3,(Dati!$M$228+Dati!$O$228+Dati!$Q$228),(Dati!$O$228+Dati!$Q$228)/Dati!$D$238))&gt;0,((IF(Dati!$D$238=3,(Dati!M169+Dati!O169+Dati!Q169),(Dati!O169+Dati!Q169)/Dati!$D$238)/(IF(Dati!$D$238=3,(Dati!$M$228+Dati!$O$228+Dati!$Q$228),(Dati!$O$228+Dati!$Q$228)/Dati!$D$238)))),0)</f>
        <v>0</v>
      </c>
      <c r="M55" s="81">
        <f>IF((IF(Dati!$D$238=3,(Dati!L169+Dati!N169+Dati!Y169+Dati!U169+Dati!V169+Dati!W169),(Dati!N169+Dati!Y169+Dati!V169+Dati!W169)/Dati!$D$238))&gt;0,((IF(Dati!$D$238=3,(Dati!R169+Dati!S169+Dati!AC169),(Dati!S169+Dati!AC169)/Dati!$D$238)/(IF(Dati!$D$238=3,(Dati!L169+Dati!N169+Dati!Y169+Dati!U169+Dati!V169+Dati!W169),(Dati!N169+Dati!Y169+Dati!V169+Dati!W169)/Dati!$D$238)))),0)</f>
        <v>0</v>
      </c>
    </row>
    <row r="56" spans="1:13" ht="18.75" customHeight="1">
      <c r="A56" s="158" t="s">
        <v>804</v>
      </c>
      <c r="B56" s="74" t="s">
        <v>779</v>
      </c>
      <c r="C56" s="75" t="s">
        <v>547</v>
      </c>
      <c r="D56" s="52">
        <f>IF(Dati!$D$228&gt;0,(Dati!D170/Dati!$D$228),0)</f>
        <v>0</v>
      </c>
      <c r="E56" s="52">
        <f>IF(Dati!$E$228&gt;0,(Dati!E170/Dati!$E$228),0)</f>
        <v>0</v>
      </c>
      <c r="F56" s="52">
        <f>IF((Dati!D170-Dati!E170+Dati!K170)&gt;0,((Dati!J170)/(Dati!D170-Dati!E170+Dati!K170)),0)</f>
        <v>0</v>
      </c>
      <c r="G56" s="52">
        <f>IF(Dati!$F$228&gt;0,(Dati!F170/Dati!$F$228),0)</f>
        <v>0</v>
      </c>
      <c r="H56" s="52">
        <f>IF(Dati!$G$228&gt;0,(Dati!G170/Dati!$G$228),0)</f>
        <v>0</v>
      </c>
      <c r="I56" s="52">
        <f>IF(Dati!$H$228&gt;0,(Dati!H170/Dati!$H$228),0)</f>
        <v>0</v>
      </c>
      <c r="J56" s="52">
        <f>IF(Dati!$I$228&gt;0,(Dati!I170/Dati!$I$228),0)</f>
        <v>0</v>
      </c>
      <c r="K56" s="52">
        <f>IF((IF(Dati!$D$238=3,(Dati!$L$228+Dati!$M$228+Dati!$N$228+Dati!$O$228+Dati!$Y$228+Dati!$Q$228),(Dati!$N$228+Dati!$O$228+Dati!$Y$228+Dati!$Q$228))/Dati!$D$238)&gt;0,((IF(Dati!$D$238=3,(Dati!L170+Dati!M170+Dati!N170+Dati!O170+Dati!Y170+Dati!Q170),(Dati!N170+Dati!O170+Dati!Y170+Dati!Q170))/Dati!$D$238)/(IF(Dati!$D$238=3,(Dati!$L$228+Dati!$M$228+Dati!$N$228+Dati!$O$228+Dati!$Y$228+Dati!$Q$228),(Dati!$N$228+Dati!$O$228+Dati!$Y$228+Dati!$Q$228))/Dati!$D$238)),0)</f>
        <v>0</v>
      </c>
      <c r="L56" s="81">
        <f>IF((IF(Dati!$D$238=3,(Dati!$M$228+Dati!$O$228+Dati!$Q$228),(Dati!$O$228+Dati!$Q$228)/Dati!$D$238))&gt;0,((IF(Dati!$D$238=3,(Dati!M170+Dati!O170+Dati!Q170),(Dati!O170+Dati!Q170)/Dati!$D$238)/(IF(Dati!$D$238=3,(Dati!$M$228+Dati!$O$228+Dati!$Q$228),(Dati!$O$228+Dati!$Q$228)/Dati!$D$238)))),0)</f>
        <v>0</v>
      </c>
      <c r="M56" s="81">
        <f>IF((IF(Dati!$D$238=3,(Dati!L170+Dati!N170+Dati!Y170+Dati!U170+Dati!V170+Dati!W170),(Dati!N170+Dati!Y170+Dati!V170+Dati!W170)/Dati!$D$238))&gt;0,((IF(Dati!$D$238=3,(Dati!R170+Dati!S170+Dati!AC170),(Dati!S170+Dati!AC170)/Dati!$D$238)/(IF(Dati!$D$238=3,(Dati!L170+Dati!N170+Dati!Y170+Dati!U170+Dati!V170+Dati!W170),(Dati!N170+Dati!Y170+Dati!V170+Dati!W170)/Dati!$D$238)))),0)</f>
        <v>0</v>
      </c>
    </row>
    <row r="57" spans="1:13" ht="16.5" customHeight="1">
      <c r="A57" s="158" t="s">
        <v>804</v>
      </c>
      <c r="B57" s="74" t="s">
        <v>801</v>
      </c>
      <c r="C57" s="75" t="s">
        <v>549</v>
      </c>
      <c r="D57" s="52">
        <f>IF(Dati!$D$228&gt;0,(Dati!D171/Dati!$D$228),0)</f>
        <v>0</v>
      </c>
      <c r="E57" s="52">
        <f>IF(Dati!$E$228&gt;0,(Dati!E171/Dati!$E$228),0)</f>
        <v>0</v>
      </c>
      <c r="F57" s="52">
        <f>IF((Dati!D171-Dati!E171+Dati!K171)&gt;0,((Dati!J171)/(Dati!D171-Dati!E171+Dati!K171)),0)</f>
        <v>0</v>
      </c>
      <c r="G57" s="52">
        <f>IF(Dati!$F$228&gt;0,(Dati!F171/Dati!$F$228),0)</f>
        <v>0</v>
      </c>
      <c r="H57" s="52">
        <f>IF(Dati!$G$228&gt;0,(Dati!G171/Dati!$G$228),0)</f>
        <v>0</v>
      </c>
      <c r="I57" s="52">
        <f>IF(Dati!$H$228&gt;0,(Dati!H171/Dati!$H$228),0)</f>
        <v>0</v>
      </c>
      <c r="J57" s="52">
        <f>IF(Dati!$I$228&gt;0,(Dati!I171/Dati!$I$228),0)</f>
        <v>0</v>
      </c>
      <c r="K57" s="52">
        <f>IF((IF(Dati!$D$238=3,(Dati!$L$228+Dati!$M$228+Dati!$N$228+Dati!$O$228+Dati!$Y$228+Dati!$Q$228),(Dati!$N$228+Dati!$O$228+Dati!$Y$228+Dati!$Q$228))/Dati!$D$238)&gt;0,((IF(Dati!$D$238=3,(Dati!L171+Dati!M171+Dati!N171+Dati!O171+Dati!Y171+Dati!Q171),(Dati!N171+Dati!O171+Dati!Y171+Dati!Q171))/Dati!$D$238)/(IF(Dati!$D$238=3,(Dati!$L$228+Dati!$M$228+Dati!$N$228+Dati!$O$228+Dati!$Y$228+Dati!$Q$228),(Dati!$N$228+Dati!$O$228+Dati!$Y$228+Dati!$Q$228))/Dati!$D$238)),0)</f>
        <v>0</v>
      </c>
      <c r="L57" s="81">
        <f>IF((IF(Dati!$D$238=3,(Dati!$M$228+Dati!$O$228+Dati!$Q$228),(Dati!$O$228+Dati!$Q$228)/Dati!$D$238))&gt;0,((IF(Dati!$D$238=3,(Dati!M171+Dati!O171+Dati!Q171),(Dati!O171+Dati!Q171)/Dati!$D$238)/(IF(Dati!$D$238=3,(Dati!$M$228+Dati!$O$228+Dati!$Q$228),(Dati!$O$228+Dati!$Q$228)/Dati!$D$238)))),0)</f>
        <v>0</v>
      </c>
      <c r="M57" s="81">
        <f>IF((IF(Dati!$D$238=3,(Dati!L171+Dati!N171+Dati!Y171+Dati!U171+Dati!V171+Dati!W171),(Dati!N171+Dati!Y171+Dati!V171+Dati!W171)/Dati!$D$238))&gt;0,((IF(Dati!$D$238=3,(Dati!R171+Dati!S171+Dati!AC171),(Dati!S171+Dati!AC171)/Dati!$D$238)/(IF(Dati!$D$238=3,(Dati!L171+Dati!N171+Dati!Y171+Dati!U171+Dati!V171+Dati!W171),(Dati!N171+Dati!Y171+Dati!V171+Dati!W171)/Dati!$D$238)))),0)</f>
        <v>0</v>
      </c>
    </row>
    <row r="58" spans="1:13" ht="18" customHeight="1">
      <c r="A58" s="158" t="s">
        <v>804</v>
      </c>
      <c r="B58" s="74" t="s">
        <v>792</v>
      </c>
      <c r="C58" s="75" t="s">
        <v>551</v>
      </c>
      <c r="D58" s="52">
        <f>IF(Dati!$D$228&gt;0,(Dati!D172/Dati!$D$228),0)</f>
        <v>0</v>
      </c>
      <c r="E58" s="52">
        <f>IF(Dati!$E$228&gt;0,(Dati!E172/Dati!$E$228),0)</f>
        <v>0</v>
      </c>
      <c r="F58" s="52">
        <f>IF((Dati!D172-Dati!E172+Dati!K172)&gt;0,((Dati!J172)/(Dati!D172-Dati!E172+Dati!K172)),0)</f>
        <v>0</v>
      </c>
      <c r="G58" s="52">
        <f>IF(Dati!$F$228&gt;0,(Dati!F172/Dati!$F$228),0)</f>
        <v>0</v>
      </c>
      <c r="H58" s="52">
        <f>IF(Dati!$G$228&gt;0,(Dati!G172/Dati!$G$228),0)</f>
        <v>0</v>
      </c>
      <c r="I58" s="52">
        <f>IF(Dati!$H$228&gt;0,(Dati!H172/Dati!$H$228),0)</f>
        <v>0</v>
      </c>
      <c r="J58" s="52">
        <f>IF(Dati!$I$228&gt;0,(Dati!I172/Dati!$I$228),0)</f>
        <v>0</v>
      </c>
      <c r="K58" s="52">
        <f>IF((IF(Dati!$D$238=3,(Dati!$L$228+Dati!$M$228+Dati!$N$228+Dati!$O$228+Dati!$Y$228+Dati!$Q$228),(Dati!$N$228+Dati!$O$228+Dati!$Y$228+Dati!$Q$228))/Dati!$D$238)&gt;0,((IF(Dati!$D$238=3,(Dati!L172+Dati!M172+Dati!N172+Dati!O172+Dati!Y172+Dati!Q172),(Dati!N172+Dati!O172+Dati!Y172+Dati!Q172))/Dati!$D$238)/(IF(Dati!$D$238=3,(Dati!$L$228+Dati!$M$228+Dati!$N$228+Dati!$O$228+Dati!$Y$228+Dati!$Q$228),(Dati!$N$228+Dati!$O$228+Dati!$Y$228+Dati!$Q$228))/Dati!$D$238)),0)</f>
        <v>0</v>
      </c>
      <c r="L58" s="81">
        <f>IF((IF(Dati!$D$238=3,(Dati!$M$228+Dati!$O$228+Dati!$Q$228),(Dati!$O$228+Dati!$Q$228)/Dati!$D$238))&gt;0,((IF(Dati!$D$238=3,(Dati!M172+Dati!O172+Dati!Q172),(Dati!O172+Dati!Q172)/Dati!$D$238)/(IF(Dati!$D$238=3,(Dati!$M$228+Dati!$O$228+Dati!$Q$228),(Dati!$O$228+Dati!$Q$228)/Dati!$D$238)))),0)</f>
        <v>0</v>
      </c>
      <c r="M58" s="81">
        <f>IF((IF(Dati!$D$238=3,(Dati!L172+Dati!N172+Dati!Y172+Dati!U172+Dati!V172+Dati!W172),(Dati!N172+Dati!Y172+Dati!V172+Dati!W172)/Dati!$D$238))&gt;0,((IF(Dati!$D$238=3,(Dati!R172+Dati!S172+Dati!AC172),(Dati!S172+Dati!AC172)/Dati!$D$238)/(IF(Dati!$D$238=3,(Dati!L172+Dati!N172+Dati!Y172+Dati!U172+Dati!V172+Dati!W172),(Dati!N172+Dati!Y172+Dati!V172+Dati!W172)/Dati!$D$238)))),0)</f>
        <v>0</v>
      </c>
    </row>
    <row r="59" spans="1:13" ht="29.25" customHeight="1">
      <c r="A59" s="158" t="s">
        <v>804</v>
      </c>
      <c r="B59" s="79" t="s">
        <v>793</v>
      </c>
      <c r="C59" s="58" t="s">
        <v>553</v>
      </c>
      <c r="D59" s="52">
        <f>IF(Dati!$D$228&gt;0,(Dati!D173/Dati!$D$228),0)</f>
        <v>0.13120846464579686</v>
      </c>
      <c r="E59" s="52">
        <f>IF(Dati!$E$228&gt;0,(Dati!E173/Dati!$E$228),0)</f>
        <v>0.003778217762288655</v>
      </c>
      <c r="F59" s="52">
        <f>IF((Dati!D173-Dati!E173+Dati!K173)&gt;0,((Dati!J173)/(Dati!D173-Dati!E173+Dati!K173)),0)</f>
        <v>1.0000000000000002</v>
      </c>
      <c r="G59" s="52">
        <f>IF(Dati!$F$228&gt;0,(Dati!F173/Dati!$F$228),0)</f>
        <v>0.03730405194660932</v>
      </c>
      <c r="H59" s="52">
        <f>IF(Dati!$G$228&gt;0,(Dati!G173/Dati!$G$228),0)</f>
        <v>0.004644217861136133</v>
      </c>
      <c r="I59" s="52">
        <f>IF(Dati!$H$228&gt;0,(Dati!H173/Dati!$H$228),0)</f>
        <v>0.021104866400764827</v>
      </c>
      <c r="J59" s="52">
        <f>IF(Dati!$I$228&gt;0,(Dati!I173/Dati!$I$228),0)</f>
        <v>0.00464421612267659</v>
      </c>
      <c r="K59" s="52">
        <f>IF((IF(Dati!$D$238=3,(Dati!$L$228+Dati!$M$228+Dati!$N$228+Dati!$O$228+Dati!$Y$228+Dati!$Q$228),(Dati!$N$228+Dati!$O$228+Dati!$Y$228+Dati!$Q$228))/Dati!$D$238)&gt;0,((IF(Dati!$D$238=3,(Dati!L173+Dati!M173+Dati!N173+Dati!O173+Dati!Y173+Dati!Q173),(Dati!N173+Dati!O173+Dati!Y173+Dati!Q173))/Dati!$D$238)/(IF(Dati!$D$238=3,(Dati!$L$228+Dati!$M$228+Dati!$N$228+Dati!$O$228+Dati!$Y$228+Dati!$Q$228),(Dati!$N$228+Dati!$O$228+Dati!$Y$228+Dati!$Q$228))/Dati!$D$238)),0)</f>
        <v>0.08044820167651655</v>
      </c>
      <c r="L59" s="81">
        <f>IF((IF(Dati!$D$238=3,(Dati!$M$228+Dati!$O$228+Dati!$Q$228),(Dati!$O$228+Dati!$Q$228)/Dati!$D$238))&gt;0,((IF(Dati!$D$238=3,(Dati!M173+Dati!O173+Dati!Q173),(Dati!O173+Dati!Q173)/Dati!$D$238)/(IF(Dati!$D$238=3,(Dati!$M$228+Dati!$O$228+Dati!$Q$228),(Dati!$O$228+Dati!$Q$228)/Dati!$D$238)))),0)</f>
        <v>0.34155794121267874</v>
      </c>
      <c r="M59" s="81">
        <f>IF((IF(Dati!$D$238=3,(Dati!L173+Dati!N173+Dati!Y173+Dati!U173+Dati!V173+Dati!W173),(Dati!N173+Dati!Y173+Dati!V173+Dati!W173)/Dati!$D$238))&gt;0,((IF(Dati!$D$238=3,(Dati!R173+Dati!S173+Dati!AC173),(Dati!S173+Dati!AC173)/Dati!$D$238)/(IF(Dati!$D$238=3,(Dati!L173+Dati!N173+Dati!Y173+Dati!U173+Dati!V173+Dati!W173),(Dati!N173+Dati!Y173+Dati!V173+Dati!W173)/Dati!$D$238)))),0)</f>
        <v>0.8362615077282296</v>
      </c>
    </row>
    <row r="60" spans="1:13" ht="32.25" customHeight="1">
      <c r="A60" s="158" t="s">
        <v>804</v>
      </c>
      <c r="B60" s="178" t="s">
        <v>130</v>
      </c>
      <c r="C60" s="179"/>
      <c r="D60" s="52">
        <f>IF(Dati!$D$228&gt;0,(Dati!D174/Dati!$D$228),0)</f>
        <v>0.13120846464579686</v>
      </c>
      <c r="E60" s="52">
        <f>IF(Dati!$E$228&gt;0,(Dati!E174/Dati!$E$228),0)</f>
        <v>0.003778217762288655</v>
      </c>
      <c r="F60" s="52">
        <f>IF((Dati!D174-Dati!E174+Dati!K174)&gt;0,((Dati!J174)/(Dati!D174-Dati!E174+Dati!K174)),0)</f>
        <v>1.0000000000000002</v>
      </c>
      <c r="G60" s="52">
        <f>IF(Dati!$F$228&gt;0,(Dati!F174/Dati!$F$228),0)</f>
        <v>0.03730405194660932</v>
      </c>
      <c r="H60" s="52">
        <f>IF(Dati!$G$228&gt;0,(Dati!G174/Dati!$G$228),0)</f>
        <v>0.004644217861136133</v>
      </c>
      <c r="I60" s="52">
        <f>IF(Dati!$H$228&gt;0,(Dati!H174/Dati!$H$228),0)</f>
        <v>0.021104866400764827</v>
      </c>
      <c r="J60" s="52">
        <f>IF(Dati!$I$228&gt;0,(Dati!I174/Dati!$I$228),0)</f>
        <v>0.00464421612267659</v>
      </c>
      <c r="K60" s="52">
        <f>IF((IF(Dati!$D$238=3,(Dati!$L$228+Dati!$M$228+Dati!$N$228+Dati!$O$228+Dati!$Y$228+Dati!$Q$228),(Dati!$N$228+Dati!$O$228+Dati!$Y$228+Dati!$Q$228))/Dati!$D$238)&gt;0,((IF(Dati!$D$238=3,(Dati!L174+Dati!M174+Dati!N174+Dati!O174+Dati!Y174+Dati!Q174),(Dati!N174+Dati!O174+Dati!Y174+Dati!Q174))/Dati!$D$238)/(IF(Dati!$D$238=3,(Dati!$L$228+Dati!$M$228+Dati!$N$228+Dati!$O$228+Dati!$Y$228+Dati!$Q$228),(Dati!$N$228+Dati!$O$228+Dati!$Y$228+Dati!$Q$228))/Dati!$D$238)),0)</f>
        <v>0.08044820167651655</v>
      </c>
      <c r="L60" s="81">
        <f>IF((IF(Dati!$D$238=3,(Dati!$M$228+Dati!$O$228+Dati!$Q$228),(Dati!$O$228+Dati!$Q$228)/Dati!$D$238))&gt;0,((IF(Dati!$D$238=3,(Dati!M174+Dati!O174+Dati!Q174),(Dati!O174+Dati!Q174)/Dati!$D$238)/(IF(Dati!$D$238=3,(Dati!$M$228+Dati!$O$228+Dati!$Q$228),(Dati!$O$228+Dati!$Q$228)/Dati!$D$238)))),0)</f>
        <v>0.34155794121267874</v>
      </c>
      <c r="M60" s="81">
        <f>IF((IF(Dati!$D$238=3,(Dati!L174+Dati!N174+Dati!Y174+Dati!U174+Dati!V174+Dati!W174),(Dati!N174+Dati!Y174+Dati!V174+Dati!W174)/Dati!$D$238))&gt;0,((IF(Dati!$D$238=3,(Dati!R174+Dati!S174+Dati!AC174),(Dati!S174+Dati!AC174)/Dati!$D$238)/(IF(Dati!$D$238=3,(Dati!L174+Dati!N174+Dati!Y174+Dati!U174+Dati!V174+Dati!W174),(Dati!N174+Dati!Y174+Dati!V174+Dati!W174)/Dati!$D$238)))),0)</f>
        <v>0.8362615077282296</v>
      </c>
    </row>
    <row r="61" spans="1:13" ht="12.75" customHeight="1">
      <c r="A61" s="160" t="s">
        <v>131</v>
      </c>
      <c r="B61" s="74" t="s">
        <v>778</v>
      </c>
      <c r="C61" s="75" t="s">
        <v>556</v>
      </c>
      <c r="D61" s="52">
        <f>IF(Dati!$D$228&gt;0,(Dati!D175/Dati!$D$228),0)</f>
        <v>0.0007507433055376512</v>
      </c>
      <c r="E61" s="52">
        <f>IF(Dati!$E$228&gt;0,(Dati!E175/Dati!$E$228),0)</f>
        <v>0</v>
      </c>
      <c r="F61" s="52">
        <f>IF((Dati!D175-Dati!E175+Dati!K175)&gt;0,((Dati!J175)/(Dati!D175-Dati!E175+Dati!K175)),0)</f>
        <v>1</v>
      </c>
      <c r="G61" s="52">
        <f>IF(Dati!$F$228&gt;0,(Dati!F175/Dati!$F$228),0)</f>
        <v>0.0007784411004315951</v>
      </c>
      <c r="H61" s="52">
        <f>IF(Dati!$G$228&gt;0,(Dati!G175/Dati!$G$228),0)</f>
        <v>0</v>
      </c>
      <c r="I61" s="52">
        <f>IF(Dati!$H$228&gt;0,(Dati!H175/Dati!$H$228),0)</f>
        <v>0.0009787329585851223</v>
      </c>
      <c r="J61" s="52">
        <f>IF(Dati!$I$228&gt;0,(Dati!I175/Dati!$I$228),0)</f>
        <v>0</v>
      </c>
      <c r="K61" s="52">
        <f>IF((IF(Dati!$D$238=3,(Dati!$L$228+Dati!$M$228+Dati!$N$228+Dati!$O$228+Dati!$Y$228+Dati!$Q$228),(Dati!$N$228+Dati!$O$228+Dati!$Y$228+Dati!$Q$228))/Dati!$D$238)&gt;0,((IF(Dati!$D$238=3,(Dati!L175+Dati!M175+Dati!N175+Dati!O175+Dati!Y175+Dati!Q175),(Dati!N175+Dati!O175+Dati!Y175+Dati!Q175))/Dati!$D$238)/(IF(Dati!$D$238=3,(Dati!$L$228+Dati!$M$228+Dati!$N$228+Dati!$O$228+Dati!$Y$228+Dati!$Q$228),(Dati!$N$228+Dati!$O$228+Dati!$Y$228+Dati!$Q$228))/Dati!$D$238)),0)</f>
        <v>0.002573543621159752</v>
      </c>
      <c r="L61" s="81">
        <f>IF((IF(Dati!$D$238=3,(Dati!$M$228+Dati!$O$228+Dati!$Q$228),(Dati!$O$228+Dati!$Q$228)/Dati!$D$238))&gt;0,((IF(Dati!$D$238=3,(Dati!M175+Dati!O175+Dati!Q175),(Dati!O175+Dati!Q175)/Dati!$D$238)/(IF(Dati!$D$238=3,(Dati!$M$228+Dati!$O$228+Dati!$Q$228),(Dati!$O$228+Dati!$Q$228)/Dati!$D$238)))),0)</f>
        <v>0.010487733186167088</v>
      </c>
      <c r="M61" s="81">
        <f>IF((IF(Dati!$D$238=3,(Dati!L175+Dati!N175+Dati!Y175+Dati!U175+Dati!V175+Dati!W175),(Dati!N175+Dati!Y175+Dati!V175+Dati!W175)/Dati!$D$238))&gt;0,((IF(Dati!$D$238=3,(Dati!R175+Dati!S175+Dati!AC175),(Dati!S175+Dati!AC175)/Dati!$D$238)/(IF(Dati!$D$238=3,(Dati!L175+Dati!N175+Dati!Y175+Dati!U175+Dati!V175+Dati!W175),(Dati!N175+Dati!Y175+Dati!V175+Dati!W175)/Dati!$D$238)))),0)</f>
        <v>0.9526877120599855</v>
      </c>
    </row>
    <row r="62" spans="1:13" ht="24.75" customHeight="1">
      <c r="A62" s="158" t="s">
        <v>805</v>
      </c>
      <c r="B62" s="77" t="s">
        <v>790</v>
      </c>
      <c r="C62" s="58" t="s">
        <v>132</v>
      </c>
      <c r="D62" s="52">
        <f>IF(Dati!$D$228&gt;0,(Dati!D176/Dati!$D$228),0)</f>
        <v>0</v>
      </c>
      <c r="E62" s="52">
        <f>IF(Dati!$E$228&gt;0,(Dati!E176/Dati!$E$228),0)</f>
        <v>0</v>
      </c>
      <c r="F62" s="52">
        <f>IF((Dati!D176-Dati!E176+Dati!K176)&gt;0,((Dati!J176)/(Dati!D176-Dati!E176+Dati!K176)),0)</f>
        <v>0</v>
      </c>
      <c r="G62" s="52">
        <f>IF(Dati!$F$228&gt;0,(Dati!F176/Dati!$F$228),0)</f>
        <v>0</v>
      </c>
      <c r="H62" s="52">
        <f>IF(Dati!$G$228&gt;0,(Dati!G176/Dati!$G$228),0)</f>
        <v>0</v>
      </c>
      <c r="I62" s="52">
        <f>IF(Dati!$H$228&gt;0,(Dati!H176/Dati!$H$228),0)</f>
        <v>0</v>
      </c>
      <c r="J62" s="52">
        <f>IF(Dati!$I$228&gt;0,(Dati!I176/Dati!$I$228),0)</f>
        <v>0</v>
      </c>
      <c r="K62" s="52">
        <f>IF((IF(Dati!$D$238=3,(Dati!$L$228+Dati!$M$228+Dati!$N$228+Dati!$O$228+Dati!$Y$228+Dati!$Q$228),(Dati!$N$228+Dati!$O$228+Dati!$Y$228+Dati!$Q$228))/Dati!$D$238)&gt;0,((IF(Dati!$D$238=3,(Dati!L176+Dati!M176+Dati!N176+Dati!O176+Dati!Y176+Dati!Q176),(Dati!N176+Dati!O176+Dati!Y176+Dati!Q176))/Dati!$D$238)/(IF(Dati!$D$238=3,(Dati!$L$228+Dati!$M$228+Dati!$N$228+Dati!$O$228+Dati!$Y$228+Dati!$Q$228),(Dati!$N$228+Dati!$O$228+Dati!$Y$228+Dati!$Q$228))/Dati!$D$238)),0)</f>
        <v>0</v>
      </c>
      <c r="L62" s="81">
        <f>IF((IF(Dati!$D$238=3,(Dati!$M$228+Dati!$O$228+Dati!$Q$228),(Dati!$O$228+Dati!$Q$228)/Dati!$D$238))&gt;0,((IF(Dati!$D$238=3,(Dati!M176+Dati!O176+Dati!Q176),(Dati!O176+Dati!Q176)/Dati!$D$238)/(IF(Dati!$D$238=3,(Dati!$M$228+Dati!$O$228+Dati!$Q$228),(Dati!$O$228+Dati!$Q$228)/Dati!$D$238)))),0)</f>
        <v>0</v>
      </c>
      <c r="M62" s="81">
        <f>IF((IF(Dati!$D$238=3,(Dati!L176+Dati!N176+Dati!Y176+Dati!U176+Dati!V176+Dati!W176),(Dati!N176+Dati!Y176+Dati!V176+Dati!W176)/Dati!$D$238))&gt;0,((IF(Dati!$D$238=3,(Dati!R176+Dati!S176+Dati!AC176),(Dati!S176+Dati!AC176)/Dati!$D$238)/(IF(Dati!$D$238=3,(Dati!L176+Dati!N176+Dati!Y176+Dati!U176+Dati!V176+Dati!W176),(Dati!N176+Dati!Y176+Dati!V176+Dati!W176)/Dati!$D$238)))),0)</f>
        <v>0</v>
      </c>
    </row>
    <row r="63" spans="1:13" ht="28.5" customHeight="1">
      <c r="A63" s="158" t="s">
        <v>805</v>
      </c>
      <c r="B63" s="168" t="s">
        <v>133</v>
      </c>
      <c r="C63" s="169"/>
      <c r="D63" s="52">
        <f>IF(Dati!$D$228&gt;0,(Dati!D177/Dati!$D$228),0)</f>
        <v>0.0007507433055376512</v>
      </c>
      <c r="E63" s="52">
        <f>IF(Dati!$E$228&gt;0,(Dati!E177/Dati!$E$228),0)</f>
        <v>0</v>
      </c>
      <c r="F63" s="52">
        <f>IF((Dati!D177-Dati!E177+Dati!K177)&gt;0,((Dati!J177)/(Dati!D177-Dati!E177+Dati!K177)),0)</f>
        <v>1</v>
      </c>
      <c r="G63" s="52">
        <f>IF(Dati!$F$228&gt;0,(Dati!F177/Dati!$F$228),0)</f>
        <v>0.0007784411004315951</v>
      </c>
      <c r="H63" s="52">
        <f>IF(Dati!$G$228&gt;0,(Dati!G177/Dati!$G$228),0)</f>
        <v>0</v>
      </c>
      <c r="I63" s="52">
        <f>IF(Dati!$H$228&gt;0,(Dati!H177/Dati!$H$228),0)</f>
        <v>0.0009787329585851223</v>
      </c>
      <c r="J63" s="52">
        <f>IF(Dati!$I$228&gt;0,(Dati!I177/Dati!$I$228),0)</f>
        <v>0</v>
      </c>
      <c r="K63" s="52">
        <f>IF((IF(Dati!$D$238=3,(Dati!$L$228+Dati!$M$228+Dati!$N$228+Dati!$O$228+Dati!$Y$228+Dati!$Q$228),(Dati!$N$228+Dati!$O$228+Dati!$Y$228+Dati!$Q$228))/Dati!$D$238)&gt;0,((IF(Dati!$D$238=3,(Dati!L177+Dati!M177+Dati!N177+Dati!O177+Dati!Y177+Dati!Q177),(Dati!N177+Dati!O177+Dati!Y177+Dati!Q177))/Dati!$D$238)/(IF(Dati!$D$238=3,(Dati!$L$228+Dati!$M$228+Dati!$N$228+Dati!$O$228+Dati!$Y$228+Dati!$Q$228),(Dati!$N$228+Dati!$O$228+Dati!$Y$228+Dati!$Q$228))/Dati!$D$238)),0)</f>
        <v>0.002573543621159752</v>
      </c>
      <c r="L63" s="81">
        <f>IF((IF(Dati!$D$238=3,(Dati!$M$228+Dati!$O$228+Dati!$Q$228),(Dati!$O$228+Dati!$Q$228)/Dati!$D$238))&gt;0,((IF(Dati!$D$238=3,(Dati!M177+Dati!O177+Dati!Q177),(Dati!O177+Dati!Q177)/Dati!$D$238)/(IF(Dati!$D$238=3,(Dati!$M$228+Dati!$O$228+Dati!$Q$228),(Dati!$O$228+Dati!$Q$228)/Dati!$D$238)))),0)</f>
        <v>0.010487733186167088</v>
      </c>
      <c r="M63" s="81">
        <f>IF((IF(Dati!$D$238=3,(Dati!L177+Dati!N177+Dati!Y177+Dati!U177+Dati!V177+Dati!W177),(Dati!N177+Dati!Y177+Dati!V177+Dati!W177)/Dati!$D$238))&gt;0,((IF(Dati!$D$238=3,(Dati!R177+Dati!S177+Dati!AC177),(Dati!S177+Dati!AC177)/Dati!$D$238)/(IF(Dati!$D$238=3,(Dati!L177+Dati!N177+Dati!Y177+Dati!U177+Dati!V177+Dati!W177),(Dati!N177+Dati!Y177+Dati!V177+Dati!W177)/Dati!$D$238)))),0)</f>
        <v>0.9526877120599855</v>
      </c>
    </row>
    <row r="64" spans="1:13" ht="30.75" customHeight="1">
      <c r="A64" s="160" t="s">
        <v>134</v>
      </c>
      <c r="B64" s="77" t="s">
        <v>796</v>
      </c>
      <c r="C64" s="58" t="s">
        <v>561</v>
      </c>
      <c r="D64" s="52">
        <f>IF(Dati!$D$228&gt;0,(Dati!D178/Dati!$D$228),0)</f>
        <v>0.01056562917201487</v>
      </c>
      <c r="E64" s="52">
        <f>IF(Dati!$E$228&gt;0,(Dati!E178/Dati!$E$228),0)</f>
        <v>0.011059707005869826</v>
      </c>
      <c r="F64" s="52">
        <f>IF((Dati!D178-Dati!E178+Dati!K178)&gt;0,((Dati!J178)/(Dati!D178-Dati!E178+Dati!K178)),0)</f>
        <v>1.0000000000000002</v>
      </c>
      <c r="G64" s="52">
        <f>IF(Dati!$F$228&gt;0,(Dati!F178/Dati!$F$228),0)</f>
        <v>0.0107208233944139</v>
      </c>
      <c r="H64" s="52">
        <f>IF(Dati!$G$228&gt;0,(Dati!G178/Dati!$G$228),0)</f>
        <v>0.013232252103152646</v>
      </c>
      <c r="I64" s="52">
        <f>IF(Dati!$H$228&gt;0,(Dati!H178/Dati!$H$228),0)</f>
        <v>0.011525746595222933</v>
      </c>
      <c r="J64" s="52">
        <f>IF(Dati!$I$228&gt;0,(Dati!I178/Dati!$I$228),0)</f>
        <v>0.013232247149953715</v>
      </c>
      <c r="K64" s="52">
        <f>IF((IF(Dati!$D$238=3,(Dati!$L$228+Dati!$M$228+Dati!$N$228+Dati!$O$228+Dati!$Y$228+Dati!$Q$228),(Dati!$N$228+Dati!$O$228+Dati!$Y$228+Dati!$Q$228))/Dati!$D$238)&gt;0,((IF(Dati!$D$238=3,(Dati!L178+Dati!M178+Dati!N178+Dati!O178+Dati!Y178+Dati!Q178),(Dati!N178+Dati!O178+Dati!Y178+Dati!Q178))/Dati!$D$238)/(IF(Dati!$D$238=3,(Dati!$L$228+Dati!$M$228+Dati!$N$228+Dati!$O$228+Dati!$Y$228+Dati!$Q$228),(Dati!$N$228+Dati!$O$228+Dati!$Y$228+Dati!$Q$228))/Dati!$D$238)),0)</f>
        <v>0.016778155067688243</v>
      </c>
      <c r="L64" s="81">
        <f>IF((IF(Dati!$D$238=3,(Dati!$M$228+Dati!$O$228+Dati!$Q$228),(Dati!$O$228+Dati!$Q$228)/Dati!$D$238))&gt;0,((IF(Dati!$D$238=3,(Dati!M178+Dati!O178+Dati!Q178),(Dati!O178+Dati!Q178)/Dati!$D$238)/(IF(Dati!$D$238=3,(Dati!$M$228+Dati!$O$228+Dati!$Q$228),(Dati!$O$228+Dati!$Q$228)/Dati!$D$238)))),0)</f>
        <v>0.0020901784123034876</v>
      </c>
      <c r="M64" s="81">
        <f>IF((IF(Dati!$D$238=3,(Dati!L178+Dati!N178+Dati!Y178+Dati!U178+Dati!V178+Dati!W178),(Dati!N178+Dati!Y178+Dati!V178+Dati!W178)/Dati!$D$238))&gt;0,((IF(Dati!$D$238=3,(Dati!R178+Dati!S178+Dati!AC178),(Dati!S178+Dati!AC178)/Dati!$D$238)/(IF(Dati!$D$238=3,(Dati!L178+Dati!N178+Dati!Y178+Dati!U178+Dati!V178+Dati!W178),(Dati!N178+Dati!Y178+Dati!V178+Dati!W178)/Dati!$D$238)))),0)</f>
        <v>0.9138749871040142</v>
      </c>
    </row>
    <row r="65" spans="1:13" ht="24.75" customHeight="1">
      <c r="A65" s="158" t="s">
        <v>806</v>
      </c>
      <c r="B65" s="74" t="s">
        <v>779</v>
      </c>
      <c r="C65" s="75" t="s">
        <v>563</v>
      </c>
      <c r="D65" s="52">
        <f>IF(Dati!$D$228&gt;0,(Dati!D179/Dati!$D$228),0)</f>
        <v>0.08247271606013142</v>
      </c>
      <c r="E65" s="52">
        <f>IF(Dati!$E$228&gt;0,(Dati!E179/Dati!$E$228),0)</f>
        <v>0</v>
      </c>
      <c r="F65" s="52">
        <f>IF((Dati!D179-Dati!E179+Dati!K179)&gt;0,((Dati!J179)/(Dati!D179-Dati!E179+Dati!K179)),0)</f>
        <v>1</v>
      </c>
      <c r="G65" s="52">
        <f>IF(Dati!$F$228&gt;0,(Dati!F179/Dati!$F$228),0)</f>
        <v>0.08638230847617262</v>
      </c>
      <c r="H65" s="52">
        <f>IF(Dati!$G$228&gt;0,(Dati!G179/Dati!$G$228),0)</f>
        <v>0</v>
      </c>
      <c r="I65" s="52">
        <f>IF(Dati!$H$228&gt;0,(Dati!H179/Dati!$H$228),0)</f>
        <v>0.10978262451134053</v>
      </c>
      <c r="J65" s="52">
        <f>IF(Dati!$I$228&gt;0,(Dati!I179/Dati!$I$228),0)</f>
        <v>0</v>
      </c>
      <c r="K65" s="52">
        <f>IF((IF(Dati!$D$238=3,(Dati!$L$228+Dati!$M$228+Dati!$N$228+Dati!$O$228+Dati!$Y$228+Dati!$Q$228),(Dati!$N$228+Dati!$O$228+Dati!$Y$228+Dati!$Q$228))/Dati!$D$238)&gt;0,((IF(Dati!$D$238=3,(Dati!L179+Dati!M179+Dati!N179+Dati!O179+Dati!Y179+Dati!Q179),(Dati!N179+Dati!O179+Dati!Y179+Dati!Q179))/Dati!$D$238)/(IF(Dati!$D$238=3,(Dati!$L$228+Dati!$M$228+Dati!$N$228+Dati!$O$228+Dati!$Y$228+Dati!$Q$228),(Dati!$N$228+Dati!$O$228+Dati!$Y$228+Dati!$Q$228))/Dati!$D$238)),0)</f>
        <v>0.1286403154605881</v>
      </c>
      <c r="L65" s="81">
        <f>IF((IF(Dati!$D$238=3,(Dati!$M$228+Dati!$O$228+Dati!$Q$228),(Dati!$O$228+Dati!$Q$228)/Dati!$D$238))&gt;0,((IF(Dati!$D$238=3,(Dati!M179+Dati!O179+Dati!Q179),(Dati!O179+Dati!Q179)/Dati!$D$238)/(IF(Dati!$D$238=3,(Dati!$M$228+Dati!$O$228+Dati!$Q$228),(Dati!$O$228+Dati!$Q$228)/Dati!$D$238)))),0)</f>
        <v>0</v>
      </c>
      <c r="M65" s="81">
        <f>IF((IF(Dati!$D$238=3,(Dati!L179+Dati!N179+Dati!Y179+Dati!U179+Dati!V179+Dati!W179),(Dati!N179+Dati!Y179+Dati!V179+Dati!W179)/Dati!$D$238))&gt;0,((IF(Dati!$D$238=3,(Dati!R179+Dati!S179+Dati!AC179),(Dati!S179+Dati!AC179)/Dati!$D$238)/(IF(Dati!$D$238=3,(Dati!L179+Dati!N179+Dati!Y179+Dati!U179+Dati!V179+Dati!W179),(Dati!N179+Dati!Y179+Dati!V179+Dati!W179)/Dati!$D$238)))),0)</f>
        <v>0.892771037491035</v>
      </c>
    </row>
    <row r="66" spans="1:13" ht="21.75" customHeight="1">
      <c r="A66" s="158" t="s">
        <v>806</v>
      </c>
      <c r="B66" s="74" t="s">
        <v>801</v>
      </c>
      <c r="C66" s="75" t="s">
        <v>565</v>
      </c>
      <c r="D66" s="52">
        <f>IF(Dati!$D$228&gt;0,(Dati!D180/Dati!$D$228),0)</f>
        <v>0.03735511553654764</v>
      </c>
      <c r="E66" s="52">
        <f>IF(Dati!$E$228&gt;0,(Dati!E180/Dati!$E$228),0)</f>
        <v>0.04066359073709384</v>
      </c>
      <c r="F66" s="52">
        <f>IF((Dati!D180-Dati!E180+Dati!K180)&gt;0,((Dati!J180)/(Dati!D180-Dati!E180+Dati!K180)),0)</f>
        <v>1.0000000000000002</v>
      </c>
      <c r="G66" s="52">
        <f>IF(Dati!$F$228&gt;0,(Dati!F180/Dati!$F$228),0)</f>
        <v>0.03858449357314498</v>
      </c>
      <c r="H66" s="52">
        <f>IF(Dati!$G$228&gt;0,(Dati!G180/Dati!$G$228),0)</f>
        <v>0.05065656598483298</v>
      </c>
      <c r="I66" s="52">
        <f>IF(Dati!$H$228&gt;0,(Dati!H180/Dati!$H$228),0)</f>
        <v>0.04801160160910722</v>
      </c>
      <c r="J66" s="52">
        <f>IF(Dati!$I$228&gt;0,(Dati!I180/Dati!$I$228),0)</f>
        <v>0.05065654702267548</v>
      </c>
      <c r="K66" s="52">
        <f>IF((IF(Dati!$D$238=3,(Dati!$L$228+Dati!$M$228+Dati!$N$228+Dati!$O$228+Dati!$Y$228+Dati!$Q$228),(Dati!$N$228+Dati!$O$228+Dati!$Y$228+Dati!$Q$228))/Dati!$D$238)&gt;0,((IF(Dati!$D$238=3,(Dati!L180+Dati!M180+Dati!N180+Dati!O180+Dati!Y180+Dati!Q180),(Dati!N180+Dati!O180+Dati!Y180+Dati!Q180))/Dati!$D$238)/(IF(Dati!$D$238=3,(Dati!$L$228+Dati!$M$228+Dati!$N$228+Dati!$O$228+Dati!$Y$228+Dati!$Q$228),(Dati!$N$228+Dati!$O$228+Dati!$Y$228+Dati!$Q$228))/Dati!$D$238)),0)</f>
        <v>0.08660209801077226</v>
      </c>
      <c r="L66" s="81">
        <f>IF((IF(Dati!$D$238=3,(Dati!$M$228+Dati!$O$228+Dati!$Q$228),(Dati!$O$228+Dati!$Q$228)/Dati!$D$238))&gt;0,((IF(Dati!$D$238=3,(Dati!M180+Dati!O180+Dati!Q180),(Dati!O180+Dati!Q180)/Dati!$D$238)/(IF(Dati!$D$238=3,(Dati!$M$228+Dati!$O$228+Dati!$Q$228),(Dati!$O$228+Dati!$Q$228)/Dati!$D$238)))),0)</f>
        <v>0.05339630725491446</v>
      </c>
      <c r="M66" s="81">
        <f>IF((IF(Dati!$D$238=3,(Dati!L180+Dati!N180+Dati!Y180+Dati!U180+Dati!V180+Dati!W180),(Dati!N180+Dati!Y180+Dati!V180+Dati!W180)/Dati!$D$238))&gt;0,((IF(Dati!$D$238=3,(Dati!R180+Dati!S180+Dati!AC180),(Dati!S180+Dati!AC180)/Dati!$D$238)/(IF(Dati!$D$238=3,(Dati!L180+Dati!N180+Dati!Y180+Dati!U180+Dati!V180+Dati!W180),(Dati!N180+Dati!Y180+Dati!V180+Dati!W180)/Dati!$D$238)))),0)</f>
        <v>0.8855336119272602</v>
      </c>
    </row>
    <row r="67" spans="1:13" ht="30" customHeight="1">
      <c r="A67" s="158" t="s">
        <v>806</v>
      </c>
      <c r="B67" s="77" t="s">
        <v>781</v>
      </c>
      <c r="C67" s="58" t="s">
        <v>135</v>
      </c>
      <c r="D67" s="52">
        <f>IF(Dati!$D$228&gt;0,(Dati!D181/Dati!$D$228),0)</f>
        <v>0.02669567990693138</v>
      </c>
      <c r="E67" s="52">
        <f>IF(Dati!$E$228&gt;0,(Dati!E181/Dati!$E$228),0)</f>
        <v>0.070664884770115</v>
      </c>
      <c r="F67" s="52">
        <f>IF((Dati!D181-Dati!E181+Dati!K181)&gt;0,((Dati!J181)/(Dati!D181-Dati!E181+Dati!K181)),0)</f>
        <v>1</v>
      </c>
      <c r="G67" s="52">
        <f>IF(Dati!$F$228&gt;0,(Dati!F181/Dati!$F$228),0)</f>
        <v>0.027995520151579606</v>
      </c>
      <c r="H67" s="52">
        <f>IF(Dati!$G$228&gt;0,(Dati!G181/Dati!$G$228),0)</f>
        <v>0.08924497149203993</v>
      </c>
      <c r="I67" s="52">
        <f>IF(Dati!$H$228&gt;0,(Dati!H181/Dati!$H$228),0)</f>
        <v>0.03556160220355124</v>
      </c>
      <c r="J67" s="52">
        <f>IF(Dati!$I$228&gt;0,(Dati!I181/Dati!$I$228),0)</f>
        <v>0.08924493808517207</v>
      </c>
      <c r="K67" s="52">
        <f>IF((IF(Dati!$D$238=3,(Dati!$L$228+Dati!$M$228+Dati!$N$228+Dati!$O$228+Dati!$Y$228+Dati!$Q$228),(Dati!$N$228+Dati!$O$228+Dati!$Y$228+Dati!$Q$228))/Dati!$D$238)&gt;0,((IF(Dati!$D$238=3,(Dati!L181+Dati!M181+Dati!N181+Dati!O181+Dati!Y181+Dati!Q181),(Dati!N181+Dati!O181+Dati!Y181+Dati!Q181))/Dati!$D$238)/(IF(Dati!$D$238=3,(Dati!$L$228+Dati!$M$228+Dati!$N$228+Dati!$O$228+Dati!$Y$228+Dati!$Q$228),(Dati!$N$228+Dati!$O$228+Dati!$Y$228+Dati!$Q$228))/Dati!$D$238)),0)</f>
        <v>0.0514292830429453</v>
      </c>
      <c r="L67" s="81">
        <f>IF((IF(Dati!$D$238=3,(Dati!$M$228+Dati!$O$228+Dati!$Q$228),(Dati!$O$228+Dati!$Q$228)/Dati!$D$238))&gt;0,((IF(Dati!$D$238=3,(Dati!M181+Dati!O181+Dati!Q181),(Dati!O181+Dati!Q181)/Dati!$D$238)/(IF(Dati!$D$238=3,(Dati!$M$228+Dati!$O$228+Dati!$Q$228),(Dati!$O$228+Dati!$Q$228)/Dati!$D$238)))),0)</f>
        <v>0.009911818876984191</v>
      </c>
      <c r="M67" s="81">
        <f>IF((IF(Dati!$D$238=3,(Dati!L181+Dati!N181+Dati!Y181+Dati!U181+Dati!V181+Dati!W181),(Dati!N181+Dati!Y181+Dati!V181+Dati!W181)/Dati!$D$238))&gt;0,((IF(Dati!$D$238=3,(Dati!R181+Dati!S181+Dati!AC181),(Dati!S181+Dati!AC181)/Dati!$D$238)/(IF(Dati!$D$238=3,(Dati!L181+Dati!N181+Dati!Y181+Dati!U181+Dati!V181+Dati!W181),(Dati!N181+Dati!Y181+Dati!V181+Dati!W181)/Dati!$D$238)))),0)</f>
        <v>0.9176667740041555</v>
      </c>
    </row>
    <row r="68" spans="1:13" ht="22.5" customHeight="1">
      <c r="A68" s="158" t="s">
        <v>806</v>
      </c>
      <c r="B68" s="74" t="s">
        <v>793</v>
      </c>
      <c r="C68" s="75" t="s">
        <v>569</v>
      </c>
      <c r="D68" s="52">
        <f>IF(Dati!$D$228&gt;0,(Dati!D182/Dati!$D$228),0)</f>
        <v>0.0033911984095354093</v>
      </c>
      <c r="E68" s="52">
        <f>IF(Dati!$E$228&gt;0,(Dati!E182/Dati!$E$228),0)</f>
        <v>0</v>
      </c>
      <c r="F68" s="52">
        <f>IF((Dati!D182-Dati!E182+Dati!K182)&gt;0,((Dati!J182)/(Dati!D182-Dati!E182+Dati!K182)),0)</f>
        <v>1</v>
      </c>
      <c r="G68" s="52">
        <f>IF(Dati!$F$228&gt;0,(Dati!F182/Dati!$F$228),0)</f>
        <v>0.0018534227045052126</v>
      </c>
      <c r="H68" s="52">
        <f>IF(Dati!$G$228&gt;0,(Dati!G182/Dati!$G$228),0)</f>
        <v>0</v>
      </c>
      <c r="I68" s="52">
        <f>IF(Dati!$H$228&gt;0,(Dati!H182/Dati!$H$228),0)</f>
        <v>0.0023555009401677943</v>
      </c>
      <c r="J68" s="52">
        <f>IF(Dati!$I$228&gt;0,(Dati!I182/Dati!$I$228),0)</f>
        <v>0</v>
      </c>
      <c r="K68" s="52">
        <f>IF((IF(Dati!$D$238=3,(Dati!$L$228+Dati!$M$228+Dati!$N$228+Dati!$O$228+Dati!$Y$228+Dati!$Q$228),(Dati!$N$228+Dati!$O$228+Dati!$Y$228+Dati!$Q$228))/Dati!$D$238)&gt;0,((IF(Dati!$D$238=3,(Dati!L182+Dati!M182+Dati!N182+Dati!O182+Dati!Y182+Dati!Q182),(Dati!N182+Dati!O182+Dati!Y182+Dati!Q182))/Dati!$D$238)/(IF(Dati!$D$238=3,(Dati!$L$228+Dati!$M$228+Dati!$N$228+Dati!$O$228+Dati!$Y$228+Dati!$Q$228),(Dati!$N$228+Dati!$O$228+Dati!$Y$228+Dati!$Q$228))/Dati!$D$238)),0)</f>
        <v>0.002017764953695725</v>
      </c>
      <c r="L68" s="81">
        <f>IF((IF(Dati!$D$238=3,(Dati!$M$228+Dati!$O$228+Dati!$Q$228),(Dati!$O$228+Dati!$Q$228)/Dati!$D$238))&gt;0,((IF(Dati!$D$238=3,(Dati!M182+Dati!O182+Dati!Q182),(Dati!O182+Dati!Q182)/Dati!$D$238)/(IF(Dati!$D$238=3,(Dati!$M$228+Dati!$O$228+Dati!$Q$228),(Dati!$O$228+Dati!$Q$228)/Dati!$D$238)))),0)</f>
        <v>0</v>
      </c>
      <c r="M68" s="81">
        <f>IF((IF(Dati!$D$238=3,(Dati!L182+Dati!N182+Dati!Y182+Dati!U182+Dati!V182+Dati!W182),(Dati!N182+Dati!Y182+Dati!V182+Dati!W182)/Dati!$D$238))&gt;0,((IF(Dati!$D$238=3,(Dati!R182+Dati!S182+Dati!AC182),(Dati!S182+Dati!AC182)/Dati!$D$238)/(IF(Dati!$D$238=3,(Dati!L182+Dati!N182+Dati!Y182+Dati!U182+Dati!V182+Dati!W182),(Dati!N182+Dati!Y182+Dati!V182+Dati!W182)/Dati!$D$238)))),0)</f>
        <v>0.9551081244774173</v>
      </c>
    </row>
    <row r="69" spans="1:13" ht="29.25" customHeight="1">
      <c r="A69" s="158" t="s">
        <v>806</v>
      </c>
      <c r="B69" s="77" t="s">
        <v>802</v>
      </c>
      <c r="C69" s="58" t="s">
        <v>571</v>
      </c>
      <c r="D69" s="52">
        <f>IF(Dati!$D$228&gt;0,(Dati!D183/Dati!$D$228),0)</f>
        <v>0.0017236685962842427</v>
      </c>
      <c r="E69" s="52">
        <f>IF(Dati!$E$228&gt;0,(Dati!E183/Dati!$E$228),0)</f>
        <v>0</v>
      </c>
      <c r="F69" s="52">
        <f>IF((Dati!D183-Dati!E183+Dati!K183)&gt;0,((Dati!J183)/(Dati!D183-Dati!E183+Dati!K183)),0)</f>
        <v>0.4089940351540986</v>
      </c>
      <c r="G69" s="52">
        <f>IF(Dati!$F$228&gt;0,(Dati!F183/Dati!$F$228),0)</f>
        <v>0.0003610757096598029</v>
      </c>
      <c r="H69" s="52">
        <f>IF(Dati!$G$228&gt;0,(Dati!G183/Dati!$G$228),0)</f>
        <v>0</v>
      </c>
      <c r="I69" s="52">
        <f>IF(Dati!$H$228&gt;0,(Dati!H183/Dati!$H$228),0)</f>
        <v>0.00045888839686059177</v>
      </c>
      <c r="J69" s="52">
        <f>IF(Dati!$I$228&gt;0,(Dati!I183/Dati!$I$228),0)</f>
        <v>0</v>
      </c>
      <c r="K69" s="52">
        <f>IF((IF(Dati!$D$238=3,(Dati!$L$228+Dati!$M$228+Dati!$N$228+Dati!$O$228+Dati!$Y$228+Dati!$Q$228),(Dati!$N$228+Dati!$O$228+Dati!$Y$228+Dati!$Q$228))/Dati!$D$238)&gt;0,((IF(Dati!$D$238=3,(Dati!L183+Dati!M183+Dati!N183+Dati!O183+Dati!Y183+Dati!Q183),(Dati!N183+Dati!O183+Dati!Y183+Dati!Q183))/Dati!$D$238)/(IF(Dati!$D$238=3,(Dati!$L$228+Dati!$M$228+Dati!$N$228+Dati!$O$228+Dati!$Y$228+Dati!$Q$228),(Dati!$N$228+Dati!$O$228+Dati!$Y$228+Dati!$Q$228))/Dati!$D$238)),0)</f>
        <v>0.0018322923745016041</v>
      </c>
      <c r="L69" s="81">
        <f>IF((IF(Dati!$D$238=3,(Dati!$M$228+Dati!$O$228+Dati!$Q$228),(Dati!$O$228+Dati!$Q$228)/Dati!$D$238))&gt;0,((IF(Dati!$D$238=3,(Dati!M183+Dati!O183+Dati!Q183),(Dati!O183+Dati!Q183)/Dati!$D$238)/(IF(Dati!$D$238=3,(Dati!$M$228+Dati!$O$228+Dati!$Q$228),(Dati!$O$228+Dati!$Q$228)/Dati!$D$238)))),0)</f>
        <v>0</v>
      </c>
      <c r="M69" s="81">
        <f>IF((IF(Dati!$D$238=3,(Dati!L183+Dati!N183+Dati!Y183+Dati!U183+Dati!V183+Dati!W183),(Dati!N183+Dati!Y183+Dati!V183+Dati!W183)/Dati!$D$238))&gt;0,((IF(Dati!$D$238=3,(Dati!R183+Dati!S183+Dati!AC183),(Dati!S183+Dati!AC183)/Dati!$D$238)/(IF(Dati!$D$238=3,(Dati!L183+Dati!N183+Dati!Y183+Dati!U183+Dati!V183+Dati!W183),(Dati!N183+Dati!Y183+Dati!V183+Dati!W183)/Dati!$D$238)))),0)</f>
        <v>0.8008908086153165</v>
      </c>
    </row>
    <row r="70" spans="1:13" ht="44.25" customHeight="1">
      <c r="A70" s="158" t="s">
        <v>806</v>
      </c>
      <c r="B70" s="77" t="s">
        <v>784</v>
      </c>
      <c r="C70" s="58" t="s">
        <v>93</v>
      </c>
      <c r="D70" s="52">
        <f>IF(Dati!$D$228&gt;0,(Dati!D184/Dati!$D$228),0)</f>
        <v>0.002495044766493367</v>
      </c>
      <c r="E70" s="52">
        <f>IF(Dati!$E$228&gt;0,(Dati!E184/Dati!$E$228),0)</f>
        <v>0</v>
      </c>
      <c r="F70" s="52">
        <f>IF((Dati!D184-Dati!E184+Dati!K184)&gt;0,((Dati!J184)/(Dati!D184-Dati!E184+Dati!K184)),0)</f>
        <v>1</v>
      </c>
      <c r="G70" s="52">
        <f>IF(Dati!$F$228&gt;0,(Dati!F184/Dati!$F$228),0)</f>
        <v>0.0026133215562337895</v>
      </c>
      <c r="H70" s="52">
        <f>IF(Dati!$G$228&gt;0,(Dati!G184/Dati!$G$228),0)</f>
        <v>0</v>
      </c>
      <c r="I70" s="52">
        <f>IF(Dati!$H$228&gt;0,(Dati!H184/Dati!$H$228),0)</f>
        <v>0.003321250661118219</v>
      </c>
      <c r="J70" s="52">
        <f>IF(Dati!$I$228&gt;0,(Dati!I184/Dati!$I$228),0)</f>
        <v>0</v>
      </c>
      <c r="K70" s="52">
        <f>IF((IF(Dati!$D$238=3,(Dati!$L$228+Dati!$M$228+Dati!$N$228+Dati!$O$228+Dati!$Y$228+Dati!$Q$228),(Dati!$N$228+Dati!$O$228+Dati!$Y$228+Dati!$Q$228))/Dati!$D$238)&gt;0,((IF(Dati!$D$238=3,(Dati!L184+Dati!M184+Dati!N184+Dati!O184+Dati!Y184+Dati!Q184),(Dati!N184+Dati!O184+Dati!Y184+Dati!Q184))/Dati!$D$238)/(IF(Dati!$D$238=3,(Dati!$L$228+Dati!$M$228+Dati!$N$228+Dati!$O$228+Dati!$Y$228+Dati!$Q$228),(Dati!$N$228+Dati!$O$228+Dati!$Y$228+Dati!$Q$228))/Dati!$D$238)),0)</f>
        <v>0.0037451520999267265</v>
      </c>
      <c r="L70" s="81">
        <f>IF((IF(Dati!$D$238=3,(Dati!$M$228+Dati!$O$228+Dati!$Q$228),(Dati!$O$228+Dati!$Q$228)/Dati!$D$238))&gt;0,((IF(Dati!$D$238=3,(Dati!M184+Dati!O184+Dati!Q184),(Dati!O184+Dati!Q184)/Dati!$D$238)/(IF(Dati!$D$238=3,(Dati!$M$228+Dati!$O$228+Dati!$Q$228),(Dati!$O$228+Dati!$Q$228)/Dati!$D$238)))),0)</f>
        <v>0</v>
      </c>
      <c r="M70" s="81">
        <f>IF((IF(Dati!$D$238=3,(Dati!L184+Dati!N184+Dati!Y184+Dati!U184+Dati!V184+Dati!W184),(Dati!N184+Dati!Y184+Dati!V184+Dati!W184)/Dati!$D$238))&gt;0,((IF(Dati!$D$238=3,(Dati!R184+Dati!S184+Dati!AC184),(Dati!S184+Dati!AC184)/Dati!$D$238)/(IF(Dati!$D$238=3,(Dati!L184+Dati!N184+Dati!Y184+Dati!U184+Dati!V184+Dati!W184),(Dati!N184+Dati!Y184+Dati!V184+Dati!W184)/Dati!$D$238)))),0)</f>
        <v>0.8380320948659079</v>
      </c>
    </row>
    <row r="71" spans="1:13" ht="30.75" customHeight="1">
      <c r="A71" s="158" t="s">
        <v>806</v>
      </c>
      <c r="B71" s="77" t="s">
        <v>803</v>
      </c>
      <c r="C71" s="58" t="s">
        <v>575</v>
      </c>
      <c r="D71" s="52">
        <f>IF(Dati!$D$228&gt;0,(Dati!D185/Dati!$D$228),0)</f>
        <v>0</v>
      </c>
      <c r="E71" s="52">
        <f>IF(Dati!$E$228&gt;0,(Dati!E185/Dati!$E$228),0)</f>
        <v>0</v>
      </c>
      <c r="F71" s="52">
        <f>IF((Dati!D185-Dati!E185+Dati!K185)&gt;0,((Dati!J185)/(Dati!D185-Dati!E185+Dati!K185)),0)</f>
        <v>0</v>
      </c>
      <c r="G71" s="52">
        <f>IF(Dati!$F$228&gt;0,(Dati!F185/Dati!$F$228),0)</f>
        <v>0</v>
      </c>
      <c r="H71" s="52">
        <f>IF(Dati!$G$228&gt;0,(Dati!G185/Dati!$G$228),0)</f>
        <v>0</v>
      </c>
      <c r="I71" s="52">
        <f>IF(Dati!$H$228&gt;0,(Dati!H185/Dati!$H$228),0)</f>
        <v>0</v>
      </c>
      <c r="J71" s="52">
        <f>IF(Dati!$I$228&gt;0,(Dati!I185/Dati!$I$228),0)</f>
        <v>0</v>
      </c>
      <c r="K71" s="52">
        <f>IF((IF(Dati!$D$238=3,(Dati!$L$228+Dati!$M$228+Dati!$N$228+Dati!$O$228+Dati!$Y$228+Dati!$Q$228),(Dati!$N$228+Dati!$O$228+Dati!$Y$228+Dati!$Q$228))/Dati!$D$238)&gt;0,((IF(Dati!$D$238=3,(Dati!L185+Dati!M185+Dati!N185+Dati!O185+Dati!Y185+Dati!Q185),(Dati!N185+Dati!O185+Dati!Y185+Dati!Q185))/Dati!$D$238)/(IF(Dati!$D$238=3,(Dati!$L$228+Dati!$M$228+Dati!$N$228+Dati!$O$228+Dati!$Y$228+Dati!$Q$228),(Dati!$N$228+Dati!$O$228+Dati!$Y$228+Dati!$Q$228))/Dati!$D$238)),0)</f>
        <v>0</v>
      </c>
      <c r="L71" s="81">
        <f>IF((IF(Dati!$D$238=3,(Dati!$M$228+Dati!$O$228+Dati!$Q$228),(Dati!$O$228+Dati!$Q$228)/Dati!$D$238))&gt;0,((IF(Dati!$D$238=3,(Dati!M185+Dati!O185+Dati!Q185),(Dati!O185+Dati!Q185)/Dati!$D$238)/(IF(Dati!$D$238=3,(Dati!$M$228+Dati!$O$228+Dati!$Q$228),(Dati!$O$228+Dati!$Q$228)/Dati!$D$238)))),0)</f>
        <v>0</v>
      </c>
      <c r="M71" s="81">
        <f>IF((IF(Dati!$D$238=3,(Dati!L185+Dati!N185+Dati!Y185+Dati!U185+Dati!V185+Dati!W185),(Dati!N185+Dati!Y185+Dati!V185+Dati!W185)/Dati!$D$238))&gt;0,((IF(Dati!$D$238=3,(Dati!R185+Dati!S185+Dati!AC185),(Dati!S185+Dati!AC185)/Dati!$D$238)/(IF(Dati!$D$238=3,(Dati!L185+Dati!N185+Dati!Y185+Dati!U185+Dati!V185+Dati!W185),(Dati!N185+Dati!Y185+Dati!V185+Dati!W185)/Dati!$D$238)))),0)</f>
        <v>0</v>
      </c>
    </row>
    <row r="72" spans="1:13" ht="30.75" customHeight="1">
      <c r="A72" s="158" t="s">
        <v>806</v>
      </c>
      <c r="B72" s="77" t="s">
        <v>786</v>
      </c>
      <c r="C72" s="58" t="s">
        <v>577</v>
      </c>
      <c r="D72" s="52">
        <f>IF(Dati!$D$228&gt;0,(Dati!D186/Dati!$D$228),0)</f>
        <v>0.016587591117551828</v>
      </c>
      <c r="E72" s="52">
        <f>IF(Dati!$E$228&gt;0,(Dati!E186/Dati!$E$228),0)</f>
        <v>0.010396966655609732</v>
      </c>
      <c r="F72" s="52">
        <f>IF((Dati!D186-Dati!E186+Dati!K186)&gt;0,((Dati!J186)/(Dati!D186-Dati!E186+Dati!K186)),0)</f>
        <v>1</v>
      </c>
      <c r="G72" s="52">
        <f>IF(Dati!$F$228&gt;0,(Dati!F186/Dati!$F$228),0)</f>
        <v>0.005858995436085645</v>
      </c>
      <c r="H72" s="52">
        <f>IF(Dati!$G$228&gt;0,(Dati!G186/Dati!$G$228),0)</f>
        <v>0.010260497148931754</v>
      </c>
      <c r="I72" s="52">
        <f>IF(Dati!$H$228&gt;0,(Dati!H186/Dati!$H$228),0)</f>
        <v>0.007418387253873304</v>
      </c>
      <c r="J72" s="52">
        <f>IF(Dati!$I$228&gt;0,(Dati!I186/Dati!$I$228),0)</f>
        <v>0.010260493308143118</v>
      </c>
      <c r="K72" s="52">
        <f>IF((IF(Dati!$D$238=3,(Dati!$L$228+Dati!$M$228+Dati!$N$228+Dati!$O$228+Dati!$Y$228+Dati!$Q$228),(Dati!$N$228+Dati!$O$228+Dati!$Y$228+Dati!$Q$228))/Dati!$D$238)&gt;0,((IF(Dati!$D$238=3,(Dati!L186+Dati!M186+Dati!N186+Dati!O186+Dati!Y186+Dati!Q186),(Dati!N186+Dati!O186+Dati!Y186+Dati!Q186))/Dati!$D$238)/(IF(Dati!$D$238=3,(Dati!$L$228+Dati!$M$228+Dati!$N$228+Dati!$O$228+Dati!$Y$228+Dati!$Q$228),(Dati!$N$228+Dati!$O$228+Dati!$Y$228+Dati!$Q$228))/Dati!$D$238)),0)</f>
        <v>0.008759608818601926</v>
      </c>
      <c r="L72" s="81">
        <f>IF((IF(Dati!$D$238=3,(Dati!$M$228+Dati!$O$228+Dati!$Q$228),(Dati!$O$228+Dati!$Q$228)/Dati!$D$238))&gt;0,((IF(Dati!$D$238=3,(Dati!M186+Dati!O186+Dati!Q186),(Dati!O186+Dati!Q186)/Dati!$D$238)/(IF(Dati!$D$238=3,(Dati!$M$228+Dati!$O$228+Dati!$Q$228),(Dati!$O$228+Dati!$Q$228)/Dati!$D$238)))),0)</f>
        <v>0.027255404805708462</v>
      </c>
      <c r="M72" s="81">
        <f>IF((IF(Dati!$D$238=3,(Dati!L186+Dati!N186+Dati!Y186+Dati!U186+Dati!V186+Dati!W186),(Dati!N186+Dati!Y186+Dati!V186+Dati!W186)/Dati!$D$238))&gt;0,((IF(Dati!$D$238=3,(Dati!R186+Dati!S186+Dati!AC186),(Dati!S186+Dati!AC186)/Dati!$D$238)/(IF(Dati!$D$238=3,(Dati!L186+Dati!N186+Dati!Y186+Dati!U186+Dati!V186+Dati!W186),(Dati!N186+Dati!Y186+Dati!V186+Dati!W186)/Dati!$D$238)))),0)</f>
        <v>0.8139689780791575</v>
      </c>
    </row>
    <row r="73" spans="1:13" ht="43.5" customHeight="1">
      <c r="A73" s="158" t="s">
        <v>806</v>
      </c>
      <c r="B73" s="168" t="s">
        <v>136</v>
      </c>
      <c r="C73" s="169"/>
      <c r="D73" s="52">
        <f>IF(Dati!$D$228&gt;0,(Dati!D187/Dati!$D$228),0)</f>
        <v>0.18128664356549015</v>
      </c>
      <c r="E73" s="52">
        <f>IF(Dati!$E$228&gt;0,(Dati!E187/Dati!$E$228),0)</f>
        <v>0.1327851491686884</v>
      </c>
      <c r="F73" s="52">
        <f>IF((Dati!D187-Dati!E187+Dati!K187)&gt;0,((Dati!J187)/(Dati!D187-Dati!E187+Dati!K187)),0)</f>
        <v>0.9935874292929755</v>
      </c>
      <c r="G73" s="52">
        <f>IF(Dati!$F$228&gt;0,(Dati!F187/Dati!$F$228),0)</f>
        <v>0.17436996100179555</v>
      </c>
      <c r="H73" s="52">
        <f>IF(Dati!$G$228&gt;0,(Dati!G187/Dati!$G$228),0)</f>
        <v>0.1633942867289573</v>
      </c>
      <c r="I73" s="52">
        <f>IF(Dati!$H$228&gt;0,(Dati!H187/Dati!$H$228),0)</f>
        <v>0.21843560217124183</v>
      </c>
      <c r="J73" s="52">
        <f>IF(Dati!$I$228&gt;0,(Dati!I187/Dati!$I$228),0)</f>
        <v>0.1633942255659444</v>
      </c>
      <c r="K73" s="52">
        <f>IF((IF(Dati!$D$238=3,(Dati!$L$228+Dati!$M$228+Dati!$N$228+Dati!$O$228+Dati!$Y$228+Dati!$Q$228),(Dati!$N$228+Dati!$O$228+Dati!$Y$228+Dati!$Q$228))/Dati!$D$238)&gt;0,((IF(Dati!$D$238=3,(Dati!L187+Dati!M187+Dati!N187+Dati!O187+Dati!Y187+Dati!Q187),(Dati!N187+Dati!O187+Dati!Y187+Dati!Q187))/Dati!$D$238)/(IF(Dati!$D$238=3,(Dati!$L$228+Dati!$M$228+Dati!$N$228+Dati!$O$228+Dati!$Y$228+Dati!$Q$228),(Dati!$N$228+Dati!$O$228+Dati!$Y$228+Dati!$Q$228))/Dati!$D$238)),0)</f>
        <v>0.29980466982871984</v>
      </c>
      <c r="L73" s="81">
        <f>IF((IF(Dati!$D$238=3,(Dati!$M$228+Dati!$O$228+Dati!$Q$228),(Dati!$O$228+Dati!$Q$228)/Dati!$D$238))&gt;0,((IF(Dati!$D$238=3,(Dati!M187+Dati!O187+Dati!Q187),(Dati!O187+Dati!Q187)/Dati!$D$238)/(IF(Dati!$D$238=3,(Dati!$M$228+Dati!$O$228+Dati!$Q$228),(Dati!$O$228+Dati!$Q$228)/Dati!$D$238)))),0)</f>
        <v>0.0926537093499106</v>
      </c>
      <c r="M73" s="81">
        <f>IF((IF(Dati!$D$238=3,(Dati!L187+Dati!N187+Dati!Y187+Dati!U187+Dati!V187+Dati!W187),(Dati!N187+Dati!Y187+Dati!V187+Dati!W187)/Dati!$D$238))&gt;0,((IF(Dati!$D$238=3,(Dati!R187+Dati!S187+Dati!AC187),(Dati!S187+Dati!AC187)/Dati!$D$238)/(IF(Dati!$D$238=3,(Dati!L187+Dati!N187+Dati!Y187+Dati!U187+Dati!V187+Dati!W187),(Dati!N187+Dati!Y187+Dati!V187+Dati!W187)/Dati!$D$238)))),0)</f>
        <v>0.8931377545591427</v>
      </c>
    </row>
    <row r="74" spans="1:13" ht="57.75" customHeight="1">
      <c r="A74" s="170" t="s">
        <v>137</v>
      </c>
      <c r="B74" s="77" t="s">
        <v>796</v>
      </c>
      <c r="C74" s="58" t="s">
        <v>581</v>
      </c>
      <c r="D74" s="52">
        <f>IF(Dati!$D$228&gt;0,(Dati!D188/Dati!$D$228),0)</f>
        <v>0</v>
      </c>
      <c r="E74" s="52">
        <f>IF(Dati!$E$228&gt;0,(Dati!E188/Dati!$E$228),0)</f>
        <v>0</v>
      </c>
      <c r="F74" s="52">
        <f>IF((Dati!D188-Dati!E188+Dati!K188)&gt;0,((Dati!J188)/(Dati!D188-Dati!E188+Dati!K188)),0)</f>
        <v>0</v>
      </c>
      <c r="G74" s="52">
        <f>IF(Dati!$F$228&gt;0,(Dati!F188/Dati!$F$228),0)</f>
        <v>0</v>
      </c>
      <c r="H74" s="52">
        <f>IF(Dati!$G$228&gt;0,(Dati!G188/Dati!$G$228),0)</f>
        <v>0</v>
      </c>
      <c r="I74" s="52">
        <f>IF(Dati!$H$228&gt;0,(Dati!H188/Dati!$H$228),0)</f>
        <v>0</v>
      </c>
      <c r="J74" s="52">
        <f>IF(Dati!$I$228&gt;0,(Dati!I188/Dati!$I$228),0)</f>
        <v>0</v>
      </c>
      <c r="K74" s="52">
        <f>IF((IF(Dati!$D$238=3,(Dati!$L$228+Dati!$M$228+Dati!$N$228+Dati!$O$228+Dati!$Y$228+Dati!$Q$228),(Dati!$N$228+Dati!$O$228+Dati!$Y$228+Dati!$Q$228))/Dati!$D$238)&gt;0,((IF(Dati!$D$238=3,(Dati!L188+Dati!M188+Dati!N188+Dati!O188+Dati!Y188+Dati!Q188),(Dati!N188+Dati!O188+Dati!Y188+Dati!Q188))/Dati!$D$238)/(IF(Dati!$D$238=3,(Dati!$L$228+Dati!$M$228+Dati!$N$228+Dati!$O$228+Dati!$Y$228+Dati!$Q$228),(Dati!$N$228+Dati!$O$228+Dati!$Y$228+Dati!$Q$228))/Dati!$D$238)),0)</f>
        <v>0</v>
      </c>
      <c r="L74" s="81">
        <f>IF((IF(Dati!$D$238=3,(Dati!$M$228+Dati!$O$228+Dati!$Q$228),(Dati!$O$228+Dati!$Q$228)/Dati!$D$238))&gt;0,((IF(Dati!$D$238=3,(Dati!M188+Dati!O188+Dati!Q188),(Dati!O188+Dati!Q188)/Dati!$D$238)/(IF(Dati!$D$238=3,(Dati!$M$228+Dati!$O$228+Dati!$Q$228),(Dati!$O$228+Dati!$Q$228)/Dati!$D$238)))),0)</f>
        <v>0</v>
      </c>
      <c r="M74" s="81">
        <f>IF((IF(Dati!$D$238=3,(Dati!L188+Dati!N188+Dati!Y188+Dati!U188+Dati!V188+Dati!W188),(Dati!N188+Dati!Y188+Dati!V188+Dati!W188)/Dati!$D$238))&gt;0,((IF(Dati!$D$238=3,(Dati!R188+Dati!S188+Dati!AC188),(Dati!S188+Dati!AC188)/Dati!$D$238)/(IF(Dati!$D$238=3,(Dati!L188+Dati!N188+Dati!Y188+Dati!U188+Dati!V188+Dati!W188),(Dati!N188+Dati!Y188+Dati!V188+Dati!W188)/Dati!$D$238)))),0)</f>
        <v>0</v>
      </c>
    </row>
    <row r="75" spans="1:13" ht="58.5" customHeight="1">
      <c r="A75" s="171" t="s">
        <v>807</v>
      </c>
      <c r="B75" s="77" t="s">
        <v>790</v>
      </c>
      <c r="C75" s="58" t="s">
        <v>138</v>
      </c>
      <c r="D75" s="52">
        <f>IF(Dati!$D$228&gt;0,(Dati!D189/Dati!$D$228),0)</f>
        <v>0</v>
      </c>
      <c r="E75" s="52">
        <f>IF(Dati!$E$228&gt;0,(Dati!E189/Dati!$E$228),0)</f>
        <v>0</v>
      </c>
      <c r="F75" s="52">
        <f>IF((Dati!D189-Dati!E189+Dati!K189)&gt;0,((Dati!J189)/(Dati!D189-Dati!E189+Dati!K189)),0)</f>
        <v>0</v>
      </c>
      <c r="G75" s="52">
        <f>IF(Dati!$F$228&gt;0,(Dati!F189/Dati!$F$228),0)</f>
        <v>0</v>
      </c>
      <c r="H75" s="52">
        <f>IF(Dati!$G$228&gt;0,(Dati!G189/Dati!$G$228),0)</f>
        <v>0</v>
      </c>
      <c r="I75" s="52">
        <f>IF(Dati!$H$228&gt;0,(Dati!H189/Dati!$H$228),0)</f>
        <v>0</v>
      </c>
      <c r="J75" s="52">
        <f>IF(Dati!$I$228&gt;0,(Dati!I189/Dati!$I$228),0)</f>
        <v>0</v>
      </c>
      <c r="K75" s="52">
        <f>IF((IF(Dati!$D$238=3,(Dati!$L$228+Dati!$M$228+Dati!$N$228+Dati!$O$228+Dati!$Y$228+Dati!$Q$228),(Dati!$N$228+Dati!$O$228+Dati!$Y$228+Dati!$Q$228))/Dati!$D$238)&gt;0,((IF(Dati!$D$238=3,(Dati!L189+Dati!M189+Dati!N189+Dati!O189+Dati!Y189+Dati!Q189),(Dati!N189+Dati!O189+Dati!Y189+Dati!Q189))/Dati!$D$238)/(IF(Dati!$D$238=3,(Dati!$L$228+Dati!$M$228+Dati!$N$228+Dati!$O$228+Dati!$Y$228+Dati!$Q$228),(Dati!$N$228+Dati!$O$228+Dati!$Y$228+Dati!$Q$228))/Dati!$D$238)),0)</f>
        <v>0</v>
      </c>
      <c r="L75" s="81">
        <f>IF((IF(Dati!$D$238=3,(Dati!$M$228+Dati!$O$228+Dati!$Q$228),(Dati!$O$228+Dati!$Q$228)/Dati!$D$238))&gt;0,((IF(Dati!$D$238=3,(Dati!M189+Dati!O189+Dati!Q189),(Dati!O189+Dati!Q189)/Dati!$D$238)/(IF(Dati!$D$238=3,(Dati!$M$228+Dati!$O$228+Dati!$Q$228),(Dati!$O$228+Dati!$Q$228)/Dati!$D$238)))),0)</f>
        <v>0</v>
      </c>
      <c r="M75" s="81">
        <f>IF((IF(Dati!$D$238=3,(Dati!L189+Dati!N189+Dati!Y189+Dati!U189+Dati!V189+Dati!W189),(Dati!N189+Dati!Y189+Dati!V189+Dati!W189)/Dati!$D$238))&gt;0,((IF(Dati!$D$238=3,(Dati!R189+Dati!S189+Dati!AC189),(Dati!S189+Dati!AC189)/Dati!$D$238)/(IF(Dati!$D$238=3,(Dati!L189+Dati!N189+Dati!Y189+Dati!U189+Dati!V189+Dati!W189),(Dati!N189+Dati!Y189+Dati!V189+Dati!W189)/Dati!$D$238)))),0)</f>
        <v>0</v>
      </c>
    </row>
    <row r="76" spans="1:13" ht="57" customHeight="1">
      <c r="A76" s="171" t="s">
        <v>807</v>
      </c>
      <c r="B76" s="77" t="s">
        <v>780</v>
      </c>
      <c r="C76" s="58" t="s">
        <v>139</v>
      </c>
      <c r="D76" s="52">
        <f>IF(Dati!$D$228&gt;0,(Dati!D190/Dati!$D$228),0)</f>
        <v>0</v>
      </c>
      <c r="E76" s="52">
        <f>IF(Dati!$E$228&gt;0,(Dati!E190/Dati!$E$228),0)</f>
        <v>0</v>
      </c>
      <c r="F76" s="52">
        <f>IF((Dati!D190-Dati!E190+Dati!K190)&gt;0,((Dati!J190)/(Dati!D190-Dati!E190+Dati!K190)),0)</f>
        <v>0</v>
      </c>
      <c r="G76" s="52">
        <f>IF(Dati!$F$228&gt;0,(Dati!F190/Dati!$F$228),0)</f>
        <v>0</v>
      </c>
      <c r="H76" s="52">
        <f>IF(Dati!$G$228&gt;0,(Dati!G190/Dati!$G$228),0)</f>
        <v>0</v>
      </c>
      <c r="I76" s="52">
        <f>IF(Dati!$H$228&gt;0,(Dati!H190/Dati!$H$228),0)</f>
        <v>0</v>
      </c>
      <c r="J76" s="52">
        <f>IF(Dati!$I$228&gt;0,(Dati!I190/Dati!$I$228),0)</f>
        <v>0</v>
      </c>
      <c r="K76" s="52">
        <f>IF((IF(Dati!$D$238=3,(Dati!$L$228+Dati!$M$228+Dati!$N$228+Dati!$O$228+Dati!$Y$228+Dati!$Q$228),(Dati!$N$228+Dati!$O$228+Dati!$Y$228+Dati!$Q$228))/Dati!$D$238)&gt;0,((IF(Dati!$D$238=3,(Dati!L190+Dati!M190+Dati!N190+Dati!O190+Dati!Y190+Dati!Q190),(Dati!N190+Dati!O190+Dati!Y190+Dati!Q190))/Dati!$D$238)/(IF(Dati!$D$238=3,(Dati!$L$228+Dati!$M$228+Dati!$N$228+Dati!$O$228+Dati!$Y$228+Dati!$Q$228),(Dati!$N$228+Dati!$O$228+Dati!$Y$228+Dati!$Q$228))/Dati!$D$238)),0)</f>
        <v>0</v>
      </c>
      <c r="L76" s="81">
        <f>IF((IF(Dati!$D$238=3,(Dati!$M$228+Dati!$O$228+Dati!$Q$228),(Dati!$O$228+Dati!$Q$228)/Dati!$D$238))&gt;0,((IF(Dati!$D$238=3,(Dati!M190+Dati!O190+Dati!Q190),(Dati!O190+Dati!Q190)/Dati!$D$238)/(IF(Dati!$D$238=3,(Dati!$M$228+Dati!$O$228+Dati!$Q$228),(Dati!$O$228+Dati!$Q$228)/Dati!$D$238)))),0)</f>
        <v>0</v>
      </c>
      <c r="M76" s="81">
        <f>IF((IF(Dati!$D$238=3,(Dati!L190+Dati!N190+Dati!Y190+Dati!U190+Dati!V190+Dati!W190),(Dati!N190+Dati!Y190+Dati!V190+Dati!W190)/Dati!$D$238))&gt;0,((IF(Dati!$D$238=3,(Dati!R190+Dati!S190+Dati!AC190),(Dati!S190+Dati!AC190)/Dati!$D$238)/(IF(Dati!$D$238=3,(Dati!L190+Dati!N190+Dati!Y190+Dati!U190+Dati!V190+Dati!W190),(Dati!N190+Dati!Y190+Dati!V190+Dati!W190)/Dati!$D$238)))),0)</f>
        <v>0</v>
      </c>
    </row>
    <row r="77" spans="1:13" ht="46.5" customHeight="1">
      <c r="A77" s="171" t="s">
        <v>807</v>
      </c>
      <c r="B77" s="77" t="s">
        <v>781</v>
      </c>
      <c r="C77" s="58" t="s">
        <v>140</v>
      </c>
      <c r="D77" s="52">
        <f>IF(Dati!$D$228&gt;0,(Dati!D191/Dati!$D$228),0)</f>
        <v>0</v>
      </c>
      <c r="E77" s="52">
        <f>IF(Dati!$E$228&gt;0,(Dati!E191/Dati!$E$228),0)</f>
        <v>0</v>
      </c>
      <c r="F77" s="52">
        <f>IF((Dati!D191-Dati!E191+Dati!K191)&gt;0,((Dati!J191)/(Dati!D191-Dati!E191+Dati!K191)),0)</f>
        <v>0</v>
      </c>
      <c r="G77" s="52">
        <f>IF(Dati!$F$228&gt;0,(Dati!F191/Dati!$F$228),0)</f>
        <v>0</v>
      </c>
      <c r="H77" s="52">
        <f>IF(Dati!$G$228&gt;0,(Dati!G191/Dati!$G$228),0)</f>
        <v>0</v>
      </c>
      <c r="I77" s="52">
        <f>IF(Dati!$H$228&gt;0,(Dati!H191/Dati!$H$228),0)</f>
        <v>0</v>
      </c>
      <c r="J77" s="52">
        <f>IF(Dati!$I$228&gt;0,(Dati!I191/Dati!$I$228),0)</f>
        <v>0</v>
      </c>
      <c r="K77" s="52">
        <f>IF((IF(Dati!$D$238=3,(Dati!$L$228+Dati!$M$228+Dati!$N$228+Dati!$O$228+Dati!$Y$228+Dati!$Q$228),(Dati!$N$228+Dati!$O$228+Dati!$Y$228+Dati!$Q$228))/Dati!$D$238)&gt;0,((IF(Dati!$D$238=3,(Dati!L191+Dati!M191+Dati!N191+Dati!O191+Dati!Y191+Dati!Q191),(Dati!N191+Dati!O191+Dati!Y191+Dati!Q191))/Dati!$D$238)/(IF(Dati!$D$238=3,(Dati!$L$228+Dati!$M$228+Dati!$N$228+Dati!$O$228+Dati!$Y$228+Dati!$Q$228),(Dati!$N$228+Dati!$O$228+Dati!$Y$228+Dati!$Q$228))/Dati!$D$238)),0)</f>
        <v>0</v>
      </c>
      <c r="L77" s="81">
        <f>IF((IF(Dati!$D$238=3,(Dati!$M$228+Dati!$O$228+Dati!$Q$228),(Dati!$O$228+Dati!$Q$228)/Dati!$D$238))&gt;0,((IF(Dati!$D$238=3,(Dati!M191+Dati!O191+Dati!Q191),(Dati!O191+Dati!Q191)/Dati!$D$238)/(IF(Dati!$D$238=3,(Dati!$M$228+Dati!$O$228+Dati!$Q$228),(Dati!$O$228+Dati!$Q$228)/Dati!$D$238)))),0)</f>
        <v>0</v>
      </c>
      <c r="M77" s="81">
        <f>IF((IF(Dati!$D$238=3,(Dati!L191+Dati!N191+Dati!Y191+Dati!U191+Dati!V191+Dati!W191),(Dati!N191+Dati!Y191+Dati!V191+Dati!W191)/Dati!$D$238))&gt;0,((IF(Dati!$D$238=3,(Dati!R191+Dati!S191+Dati!AC191),(Dati!S191+Dati!AC191)/Dati!$D$238)/(IF(Dati!$D$238=3,(Dati!L191+Dati!N191+Dati!Y191+Dati!U191+Dati!V191+Dati!W191),(Dati!N191+Dati!Y191+Dati!V191+Dati!W191)/Dati!$D$238)))),0)</f>
        <v>0</v>
      </c>
    </row>
    <row r="78" spans="1:13" ht="34.5" customHeight="1">
      <c r="A78" s="171" t="s">
        <v>807</v>
      </c>
      <c r="B78" s="77" t="s">
        <v>782</v>
      </c>
      <c r="C78" s="58" t="s">
        <v>141</v>
      </c>
      <c r="D78" s="52">
        <f>IF(Dati!$D$228&gt;0,(Dati!D192/Dati!$D$228),0)</f>
        <v>0</v>
      </c>
      <c r="E78" s="52">
        <f>IF(Dati!$E$228&gt;0,(Dati!E192/Dati!$E$228),0)</f>
        <v>0</v>
      </c>
      <c r="F78" s="52">
        <f>IF((Dati!D192-Dati!E192+Dati!K192)&gt;0,((Dati!J192)/(Dati!D192-Dati!E192+Dati!K192)),0)</f>
        <v>0</v>
      </c>
      <c r="G78" s="52">
        <f>IF(Dati!$F$228&gt;0,(Dati!F192/Dati!$F$228),0)</f>
        <v>0</v>
      </c>
      <c r="H78" s="52">
        <f>IF(Dati!$G$228&gt;0,(Dati!G192/Dati!$G$228),0)</f>
        <v>0</v>
      </c>
      <c r="I78" s="52">
        <f>IF(Dati!$H$228&gt;0,(Dati!H192/Dati!$H$228),0)</f>
        <v>0</v>
      </c>
      <c r="J78" s="52">
        <f>IF(Dati!$I$228&gt;0,(Dati!I192/Dati!$I$228),0)</f>
        <v>0</v>
      </c>
      <c r="K78" s="52">
        <f>IF((IF(Dati!$D$238=3,(Dati!$L$228+Dati!$M$228+Dati!$N$228+Dati!$O$228+Dati!$Y$228+Dati!$Q$228),(Dati!$N$228+Dati!$O$228+Dati!$Y$228+Dati!$Q$228))/Dati!$D$238)&gt;0,((IF(Dati!$D$238=3,(Dati!L192+Dati!M192+Dati!N192+Dati!O192+Dati!Y192+Dati!Q192),(Dati!N192+Dati!O192+Dati!Y192+Dati!Q192))/Dati!$D$238)/(IF(Dati!$D$238=3,(Dati!$L$228+Dati!$M$228+Dati!$N$228+Dati!$O$228+Dati!$Y$228+Dati!$Q$228),(Dati!$N$228+Dati!$O$228+Dati!$Y$228+Dati!$Q$228))/Dati!$D$238)),0)</f>
        <v>0</v>
      </c>
      <c r="L78" s="81">
        <f>IF((IF(Dati!$D$238=3,(Dati!$M$228+Dati!$O$228+Dati!$Q$228),(Dati!$O$228+Dati!$Q$228)/Dati!$D$238))&gt;0,((IF(Dati!$D$238=3,(Dati!M192+Dati!O192+Dati!Q192),(Dati!O192+Dati!Q192)/Dati!$D$238)/(IF(Dati!$D$238=3,(Dati!$M$228+Dati!$O$228+Dati!$Q$228),(Dati!$O$228+Dati!$Q$228)/Dati!$D$238)))),0)</f>
        <v>0</v>
      </c>
      <c r="M78" s="81">
        <f>IF((IF(Dati!$D$238=3,(Dati!L192+Dati!N192+Dati!Y192+Dati!U192+Dati!V192+Dati!W192),(Dati!N192+Dati!Y192+Dati!V192+Dati!W192)/Dati!$D$238))&gt;0,((IF(Dati!$D$238=3,(Dati!R192+Dati!S192+Dati!AC192),(Dati!S192+Dati!AC192)/Dati!$D$238)/(IF(Dati!$D$238=3,(Dati!L192+Dati!N192+Dati!Y192+Dati!U192+Dati!V192+Dati!W192),(Dati!N192+Dati!Y192+Dati!V192+Dati!W192)/Dati!$D$238)))),0)</f>
        <v>0</v>
      </c>
    </row>
    <row r="79" spans="1:13" ht="42" customHeight="1">
      <c r="A79" s="171" t="s">
        <v>807</v>
      </c>
      <c r="B79" s="77" t="s">
        <v>802</v>
      </c>
      <c r="C79" s="58" t="s">
        <v>591</v>
      </c>
      <c r="D79" s="52">
        <f>IF(Dati!$D$228&gt;0,(Dati!D193/Dati!$D$228),0)</f>
        <v>0</v>
      </c>
      <c r="E79" s="52">
        <f>IF(Dati!$E$228&gt;0,(Dati!E193/Dati!$E$228),0)</f>
        <v>0</v>
      </c>
      <c r="F79" s="52">
        <f>IF((Dati!D193-Dati!E193+Dati!K193)&gt;0,((Dati!J193)/(Dati!D193-Dati!E193+Dati!K193)),0)</f>
        <v>0</v>
      </c>
      <c r="G79" s="52">
        <f>IF(Dati!$F$228&gt;0,(Dati!F193/Dati!$F$228),0)</f>
        <v>0</v>
      </c>
      <c r="H79" s="52">
        <f>IF(Dati!$G$228&gt;0,(Dati!G193/Dati!$G$228),0)</f>
        <v>0</v>
      </c>
      <c r="I79" s="52">
        <f>IF(Dati!$H$228&gt;0,(Dati!H193/Dati!$H$228),0)</f>
        <v>0</v>
      </c>
      <c r="J79" s="52">
        <f>IF(Dati!$I$228&gt;0,(Dati!I193/Dati!$I$228),0)</f>
        <v>0</v>
      </c>
      <c r="K79" s="52">
        <f>IF((IF(Dati!$D$238=3,(Dati!$L$228+Dati!$M$228+Dati!$N$228+Dati!$O$228+Dati!$Y$228+Dati!$Q$228),(Dati!$N$228+Dati!$O$228+Dati!$Y$228+Dati!$Q$228))/Dati!$D$238)&gt;0,((IF(Dati!$D$238=3,(Dati!L193+Dati!M193+Dati!N193+Dati!O193+Dati!Y193+Dati!Q193),(Dati!N193+Dati!O193+Dati!Y193+Dati!Q193))/Dati!$D$238)/(IF(Dati!$D$238=3,(Dati!$L$228+Dati!$M$228+Dati!$N$228+Dati!$O$228+Dati!$Y$228+Dati!$Q$228),(Dati!$N$228+Dati!$O$228+Dati!$Y$228+Dati!$Q$228))/Dati!$D$238)),0)</f>
        <v>0</v>
      </c>
      <c r="L79" s="81">
        <f>IF((IF(Dati!$D$238=3,(Dati!$M$228+Dati!$O$228+Dati!$Q$228),(Dati!$O$228+Dati!$Q$228)/Dati!$D$238))&gt;0,((IF(Dati!$D$238=3,(Dati!M193+Dati!O193+Dati!Q193),(Dati!O193+Dati!Q193)/Dati!$D$238)/(IF(Dati!$D$238=3,(Dati!$M$228+Dati!$O$228+Dati!$Q$228),(Dati!$O$228+Dati!$Q$228)/Dati!$D$238)))),0)</f>
        <v>0</v>
      </c>
      <c r="M79" s="81">
        <f>IF((IF(Dati!$D$238=3,(Dati!L193+Dati!N193+Dati!Y193+Dati!U193+Dati!V193+Dati!W193),(Dati!N193+Dati!Y193+Dati!V193+Dati!W193)/Dati!$D$238))&gt;0,((IF(Dati!$D$238=3,(Dati!R193+Dati!S193+Dati!AC193),(Dati!S193+Dati!AC193)/Dati!$D$238)/(IF(Dati!$D$238=3,(Dati!L193+Dati!N193+Dati!Y193+Dati!U193+Dati!V193+Dati!W193),(Dati!N193+Dati!Y193+Dati!V193+Dati!W193)/Dati!$D$238)))),0)</f>
        <v>0</v>
      </c>
    </row>
    <row r="80" spans="1:13" ht="30.75" customHeight="1">
      <c r="A80" s="172"/>
      <c r="B80" s="77" t="s">
        <v>784</v>
      </c>
      <c r="C80" s="58" t="s">
        <v>142</v>
      </c>
      <c r="D80" s="52">
        <f>IF(Dati!$D$228&gt;0,(Dati!D194/Dati!$D$228),0)</f>
        <v>0.0029509206368386236</v>
      </c>
      <c r="E80" s="52">
        <f>IF(Dati!$E$228&gt;0,(Dati!E194/Dati!$E$228),0)</f>
        <v>0</v>
      </c>
      <c r="F80" s="52">
        <f>IF((Dati!D194-Dati!E194+Dati!K194)&gt;0,((Dati!J194)/(Dati!D194-Dati!E194+Dati!K194)),0)</f>
        <v>1</v>
      </c>
      <c r="G80" s="52">
        <f>IF(Dati!$F$228&gt;0,(Dati!F194/Dati!$F$228),0)</f>
        <v>0.003090808074687913</v>
      </c>
      <c r="H80" s="52">
        <f>IF(Dati!$G$228&gt;0,(Dati!G194/Dati!$G$228),0)</f>
        <v>0</v>
      </c>
      <c r="I80" s="52">
        <f>IF(Dati!$H$228&gt;0,(Dati!H194/Dati!$H$228),0)</f>
        <v>0.003928084677126666</v>
      </c>
      <c r="J80" s="52">
        <f>IF(Dati!$I$228&gt;0,(Dati!I194/Dati!$I$228),0)</f>
        <v>0</v>
      </c>
      <c r="K80" s="52">
        <f>IF((IF(Dati!$D$238=3,(Dati!$L$228+Dati!$M$228+Dati!$N$228+Dati!$O$228+Dati!$Y$228+Dati!$Q$228),(Dati!$N$228+Dati!$O$228+Dati!$Y$228+Dati!$Q$228))/Dati!$D$238)&gt;0,((IF(Dati!$D$238=3,(Dati!L194+Dati!M194+Dati!N194+Dati!O194+Dati!Y194+Dati!Q194),(Dati!N194+Dati!O194+Dati!Y194+Dati!Q194))/Dati!$D$238)/(IF(Dati!$D$238=3,(Dati!$L$228+Dati!$M$228+Dati!$N$228+Dati!$O$228+Dati!$Y$228+Dati!$Q$228),(Dati!$N$228+Dati!$O$228+Dati!$Y$228+Dati!$Q$228))/Dati!$D$238)),0)</f>
        <v>0.004456182648597106</v>
      </c>
      <c r="L80" s="81">
        <f>IF((IF(Dati!$D$238=3,(Dati!$M$228+Dati!$O$228+Dati!$Q$228),(Dati!$O$228+Dati!$Q$228)/Dati!$D$238))&gt;0,((IF(Dati!$D$238=3,(Dati!M194+Dati!O194+Dati!Q194),(Dati!O194+Dati!Q194)/Dati!$D$238)/(IF(Dati!$D$238=3,(Dati!$M$228+Dati!$O$228+Dati!$Q$228),(Dati!$O$228+Dati!$Q$228)/Dati!$D$238)))),0)</f>
        <v>0</v>
      </c>
      <c r="M80" s="81">
        <f>IF((IF(Dati!$D$238=3,(Dati!L194+Dati!N194+Dati!Y194+Dati!U194+Dati!V194+Dati!W194),(Dati!N194+Dati!Y194+Dati!V194+Dati!W194)/Dati!$D$238))&gt;0,((IF(Dati!$D$238=3,(Dati!R194+Dati!S194+Dati!AC194),(Dati!S194+Dati!AC194)/Dati!$D$238)/(IF(Dati!$D$238=3,(Dati!L194+Dati!N194+Dati!Y194+Dati!U194+Dati!V194+Dati!W194),(Dati!N194+Dati!Y194+Dati!V194+Dati!W194)/Dati!$D$238)))),0)</f>
        <v>0.7894854472147382</v>
      </c>
    </row>
    <row r="81" spans="1:13" ht="36" customHeight="1">
      <c r="A81" s="173"/>
      <c r="B81" s="168" t="s">
        <v>143</v>
      </c>
      <c r="C81" s="169"/>
      <c r="D81" s="52">
        <f>IF(Dati!$D$228&gt;0,(Dati!D195/Dati!$D$228),0)</f>
        <v>0.0029509206368386236</v>
      </c>
      <c r="E81" s="52">
        <f>IF(Dati!$E$228&gt;0,(Dati!E195/Dati!$E$228),0)</f>
        <v>0</v>
      </c>
      <c r="F81" s="52">
        <f>IF((Dati!D195-Dati!E195+Dati!K195)&gt;0,((Dati!J195)/(Dati!D195-Dati!E195+Dati!K195)),0)</f>
        <v>1</v>
      </c>
      <c r="G81" s="52">
        <f>IF(Dati!$F$228&gt;0,(Dati!F195/Dati!$F$228),0)</f>
        <v>0.003090808074687913</v>
      </c>
      <c r="H81" s="52">
        <f>IF(Dati!$G$228&gt;0,(Dati!G195/Dati!$G$228),0)</f>
        <v>0</v>
      </c>
      <c r="I81" s="52">
        <f>IF(Dati!$H$228&gt;0,(Dati!H195/Dati!$H$228),0)</f>
        <v>0.003928084677126666</v>
      </c>
      <c r="J81" s="52">
        <f>IF(Dati!$I$228&gt;0,(Dati!I195/Dati!$I$228),0)</f>
        <v>0</v>
      </c>
      <c r="K81" s="52">
        <f>IF((IF(Dati!$D$238=3,(Dati!$L$228+Dati!$M$228+Dati!$N$228+Dati!$O$228+Dati!$Y$228+Dati!$Q$228),(Dati!$N$228+Dati!$O$228+Dati!$Y$228+Dati!$Q$228))/Dati!$D$238)&gt;0,((IF(Dati!$D$238=3,(Dati!L195+Dati!M195+Dati!N195+Dati!O195+Dati!Y195+Dati!Q195),(Dati!N195+Dati!O195+Dati!Y195+Dati!Q195))/Dati!$D$238)/(IF(Dati!$D$238=3,(Dati!$L$228+Dati!$M$228+Dati!$N$228+Dati!$O$228+Dati!$Y$228+Dati!$Q$228),(Dati!$N$228+Dati!$O$228+Dati!$Y$228+Dati!$Q$228))/Dati!$D$238)),0)</f>
        <v>0.004456182648597106</v>
      </c>
      <c r="L81" s="81">
        <f>IF((IF(Dati!$D$238=3,(Dati!$M$228+Dati!$O$228+Dati!$Q$228),(Dati!$O$228+Dati!$Q$228)/Dati!$D$238))&gt;0,((IF(Dati!$D$238=3,(Dati!M195+Dati!O195+Dati!Q195),(Dati!O195+Dati!Q195)/Dati!$D$238)/(IF(Dati!$D$238=3,(Dati!$M$228+Dati!$O$228+Dati!$Q$228),(Dati!$O$228+Dati!$Q$228)/Dati!$D$238)))),0)</f>
        <v>0</v>
      </c>
      <c r="M81" s="81">
        <f>IF((IF(Dati!$D$238=3,(Dati!L195+Dati!N195+Dati!Y195+Dati!U195+Dati!V195+Dati!W195),(Dati!N195+Dati!Y195+Dati!V195+Dati!W195)/Dati!$D$238))&gt;0,((IF(Dati!$D$238=3,(Dati!R195+Dati!S195+Dati!AC195),(Dati!S195+Dati!AC195)/Dati!$D$238)/(IF(Dati!$D$238=3,(Dati!L195+Dati!N195+Dati!Y195+Dati!U195+Dati!V195+Dati!W195),(Dati!N195+Dati!Y195+Dati!V195+Dati!W195)/Dati!$D$238)))),0)</f>
        <v>0.7894854472147382</v>
      </c>
    </row>
    <row r="82" spans="1:13" ht="24.75" customHeight="1">
      <c r="A82" s="174" t="s">
        <v>808</v>
      </c>
      <c r="B82" s="77" t="s">
        <v>796</v>
      </c>
      <c r="C82" s="58" t="s">
        <v>597</v>
      </c>
      <c r="D82" s="52">
        <f>IF(Dati!$D$228&gt;0,(Dati!D196/Dati!$D$228),0)</f>
        <v>0</v>
      </c>
      <c r="E82" s="52">
        <f>IF(Dati!$E$228&gt;0,(Dati!E196/Dati!$E$228),0)</f>
        <v>0</v>
      </c>
      <c r="F82" s="52">
        <f>IF((Dati!D196-Dati!E196+Dati!K196)&gt;0,((Dati!J196)/(Dati!D196-Dati!E196+Dati!K196)),0)</f>
        <v>0</v>
      </c>
      <c r="G82" s="52">
        <f>IF(Dati!$F$228&gt;0,(Dati!F196/Dati!$F$228),0)</f>
        <v>0</v>
      </c>
      <c r="H82" s="52">
        <f>IF(Dati!$G$228&gt;0,(Dati!G196/Dati!$G$228),0)</f>
        <v>0</v>
      </c>
      <c r="I82" s="52">
        <f>IF(Dati!$H$228&gt;0,(Dati!H196/Dati!$H$228),0)</f>
        <v>0</v>
      </c>
      <c r="J82" s="52">
        <f>IF(Dati!$I$228&gt;0,(Dati!I196/Dati!$I$228),0)</f>
        <v>0</v>
      </c>
      <c r="K82" s="52">
        <f>IF((IF(Dati!$D$238=3,(Dati!$L$228+Dati!$M$228+Dati!$N$228+Dati!$O$228+Dati!$Y$228+Dati!$Q$228),(Dati!$N$228+Dati!$O$228+Dati!$Y$228+Dati!$Q$228))/Dati!$D$238)&gt;0,((IF(Dati!$D$238=3,(Dati!L196+Dati!M196+Dati!N196+Dati!O196+Dati!Y196+Dati!Q196),(Dati!N196+Dati!O196+Dati!Y196+Dati!Q196))/Dati!$D$238)/(IF(Dati!$D$238=3,(Dati!$L$228+Dati!$M$228+Dati!$N$228+Dati!$O$228+Dati!$Y$228+Dati!$Q$228),(Dati!$N$228+Dati!$O$228+Dati!$Y$228+Dati!$Q$228))/Dati!$D$238)),0)</f>
        <v>0</v>
      </c>
      <c r="L82" s="81">
        <f>IF((IF(Dati!$D$238=3,(Dati!$M$228+Dati!$O$228+Dati!$Q$228),(Dati!$O$228+Dati!$Q$228)/Dati!$D$238))&gt;0,((IF(Dati!$D$238=3,(Dati!M196+Dati!O196+Dati!Q196),(Dati!O196+Dati!Q196)/Dati!$D$238)/(IF(Dati!$D$238=3,(Dati!$M$228+Dati!$O$228+Dati!$Q$228),(Dati!$O$228+Dati!$Q$228)/Dati!$D$238)))),0)</f>
        <v>0</v>
      </c>
      <c r="M82" s="81">
        <f>IF((IF(Dati!$D$238=3,(Dati!L196+Dati!N196+Dati!Y196+Dati!U196+Dati!V196+Dati!W196),(Dati!N196+Dati!Y196+Dati!V196+Dati!W196)/Dati!$D$238))&gt;0,((IF(Dati!$D$238=3,(Dati!R196+Dati!S196+Dati!AC196),(Dati!S196+Dati!AC196)/Dati!$D$238)/(IF(Dati!$D$238=3,(Dati!L196+Dati!N196+Dati!Y196+Dati!U196+Dati!V196+Dati!W196),(Dati!N196+Dati!Y196+Dati!V196+Dati!W196)/Dati!$D$238)))),0)</f>
        <v>0</v>
      </c>
    </row>
    <row r="83" spans="1:13" ht="36" customHeight="1">
      <c r="A83" s="172"/>
      <c r="B83" s="77" t="s">
        <v>790</v>
      </c>
      <c r="C83" s="58" t="s">
        <v>599</v>
      </c>
      <c r="D83" s="52">
        <f>IF(Dati!$D$228&gt;0,(Dati!D197/Dati!$D$228),0)</f>
        <v>0.0017587331175917093</v>
      </c>
      <c r="E83" s="52">
        <f>IF(Dati!$E$228&gt;0,(Dati!E197/Dati!$E$228),0)</f>
        <v>0.0044836333931419685</v>
      </c>
      <c r="F83" s="52">
        <f>IF((Dati!D197-Dati!E197+Dati!K197)&gt;0,((Dati!J197)/(Dati!D197-Dati!E197+Dati!K197)),0)</f>
        <v>1</v>
      </c>
      <c r="G83" s="52">
        <f>IF(Dati!$F$228&gt;0,(Dati!F197/Dati!$F$228),0)</f>
        <v>0.0018618045715989714</v>
      </c>
      <c r="H83" s="52">
        <f>IF(Dati!$G$228&gt;0,(Dati!G197/Dati!$G$228),0)</f>
        <v>0.0058706520924264516</v>
      </c>
      <c r="I83" s="52">
        <f>IF(Dati!$H$228&gt;0,(Dati!H197/Dati!$H$228),0)</f>
        <v>0.0023591562615818272</v>
      </c>
      <c r="J83" s="52">
        <f>IF(Dati!$I$228&gt;0,(Dati!I197/Dati!$I$228),0)</f>
        <v>0.005870649894878564</v>
      </c>
      <c r="K83" s="52">
        <f>IF((IF(Dati!$D$238=3,(Dati!$L$228+Dati!$M$228+Dati!$N$228+Dati!$O$228+Dati!$Y$228+Dati!$Q$228),(Dati!$N$228+Dati!$O$228+Dati!$Y$228+Dati!$Q$228))/Dati!$D$238)&gt;0,((IF(Dati!$D$238=3,(Dati!L197+Dati!M197+Dati!N197+Dati!O197+Dati!Y197+Dati!Q197),(Dati!N197+Dati!O197+Dati!Y197+Dati!Q197))/Dati!$D$238)/(IF(Dati!$D$238=3,(Dati!$L$228+Dati!$M$228+Dati!$N$228+Dati!$O$228+Dati!$Y$228+Dati!$Q$228),(Dati!$N$228+Dati!$O$228+Dati!$Y$228+Dati!$Q$228))/Dati!$D$238)),0)</f>
        <v>0.0035536602776736264</v>
      </c>
      <c r="L83" s="81">
        <f>IF((IF(Dati!$D$238=3,(Dati!$M$228+Dati!$O$228+Dati!$Q$228),(Dati!$O$228+Dati!$Q$228)/Dati!$D$238))&gt;0,((IF(Dati!$D$238=3,(Dati!M197+Dati!O197+Dati!Q197),(Dati!O197+Dati!Q197)/Dati!$D$238)/(IF(Dati!$D$238=3,(Dati!$M$228+Dati!$O$228+Dati!$Q$228),(Dati!$O$228+Dati!$Q$228)/Dati!$D$238)))),0)</f>
        <v>0.0017319138052045587</v>
      </c>
      <c r="M83" s="81">
        <f>IF((IF(Dati!$D$238=3,(Dati!L197+Dati!N197+Dati!Y197+Dati!U197+Dati!V197+Dati!W197),(Dati!N197+Dati!Y197+Dati!V197+Dati!W197)/Dati!$D$238))&gt;0,((IF(Dati!$D$238=3,(Dati!R197+Dati!S197+Dati!AC197),(Dati!S197+Dati!AC197)/Dati!$D$238)/(IF(Dati!$D$238=3,(Dati!L197+Dati!N197+Dati!Y197+Dati!U197+Dati!V197+Dati!W197),(Dati!N197+Dati!Y197+Dati!V197+Dati!W197)/Dati!$D$238)))),0)</f>
        <v>0.9578042538702038</v>
      </c>
    </row>
    <row r="84" spans="1:13" ht="27.75" customHeight="1">
      <c r="A84" s="172"/>
      <c r="B84" s="77" t="s">
        <v>780</v>
      </c>
      <c r="C84" s="58" t="s">
        <v>601</v>
      </c>
      <c r="D84" s="52">
        <f>IF(Dati!$D$228&gt;0,(Dati!D198/Dati!$D$228),0)</f>
        <v>1.3789348770273942E-05</v>
      </c>
      <c r="E84" s="52">
        <f>IF(Dati!$E$228&gt;0,(Dati!E198/Dati!$E$228),0)</f>
        <v>0</v>
      </c>
      <c r="F84" s="52">
        <f>IF((Dati!D198-Dati!E198+Dati!K198)&gt;0,((Dati!J198)/(Dati!D198-Dati!E198+Dati!K198)),0)</f>
        <v>1</v>
      </c>
      <c r="G84" s="52">
        <f>IF(Dati!$F$228&gt;0,(Dati!F198/Dati!$F$228),0)</f>
        <v>1.4443028386392118E-05</v>
      </c>
      <c r="H84" s="52">
        <f>IF(Dati!$G$228&gt;0,(Dati!G198/Dati!$G$228),0)</f>
        <v>0</v>
      </c>
      <c r="I84" s="52">
        <f>IF(Dati!$H$228&gt;0,(Dati!H198/Dati!$H$228),0)</f>
        <v>1.835553587442367E-05</v>
      </c>
      <c r="J84" s="52">
        <f>IF(Dati!$I$228&gt;0,(Dati!I198/Dati!$I$228),0)</f>
        <v>0</v>
      </c>
      <c r="K84" s="52">
        <f>IF((IF(Dati!$D$238=3,(Dati!$L$228+Dati!$M$228+Dati!$N$228+Dati!$O$228+Dati!$Y$228+Dati!$Q$228),(Dati!$N$228+Dati!$O$228+Dati!$Y$228+Dati!$Q$228))/Dati!$D$238)&gt;0,((IF(Dati!$D$238=3,(Dati!L198+Dati!M198+Dati!N198+Dati!O198+Dati!Y198+Dati!Q198),(Dati!N198+Dati!O198+Dati!Y198+Dati!Q198))/Dati!$D$238)/(IF(Dati!$D$238=3,(Dati!$L$228+Dati!$M$228+Dati!$N$228+Dati!$O$228+Dati!$Y$228+Dati!$Q$228),(Dati!$N$228+Dati!$O$228+Dati!$Y$228+Dati!$Q$228))/Dati!$D$238)),0)</f>
        <v>0.0009828563812871265</v>
      </c>
      <c r="L84" s="81">
        <f>IF((IF(Dati!$D$238=3,(Dati!$M$228+Dati!$O$228+Dati!$Q$228),(Dati!$O$228+Dati!$Q$228)/Dati!$D$238))&gt;0,((IF(Dati!$D$238=3,(Dati!M198+Dati!O198+Dati!Q198),(Dati!O198+Dati!Q198)/Dati!$D$238)/(IF(Dati!$D$238=3,(Dati!$M$228+Dati!$O$228+Dati!$Q$228),(Dati!$O$228+Dati!$Q$228)/Dati!$D$238)))),0)</f>
        <v>0.006767549087122081</v>
      </c>
      <c r="M84" s="81">
        <f>IF((IF(Dati!$D$238=3,(Dati!L198+Dati!N198+Dati!Y198+Dati!U198+Dati!V198+Dati!W198),(Dati!N198+Dati!Y198+Dati!V198+Dati!W198)/Dati!$D$238))&gt;0,((IF(Dati!$D$238=3,(Dati!R198+Dati!S198+Dati!AC198),(Dati!S198+Dati!AC198)/Dati!$D$238)/(IF(Dati!$D$238=3,(Dati!L198+Dati!N198+Dati!Y198+Dati!U198+Dati!V198+Dati!W198),(Dati!N198+Dati!Y198+Dati!V198+Dati!W198)/Dati!$D$238)))),0)</f>
        <v>0.9027960738797446</v>
      </c>
    </row>
    <row r="85" spans="1:13" ht="25.5" customHeight="1">
      <c r="A85" s="172"/>
      <c r="B85" s="77" t="s">
        <v>781</v>
      </c>
      <c r="C85" s="58" t="s">
        <v>603</v>
      </c>
      <c r="D85" s="52">
        <f>IF(Dati!$D$228&gt;0,(Dati!D199/Dati!$D$228),0)</f>
        <v>5.5157395081095766E-06</v>
      </c>
      <c r="E85" s="52">
        <f>IF(Dati!$E$228&gt;0,(Dati!E199/Dati!$E$228),0)</f>
        <v>0</v>
      </c>
      <c r="F85" s="52">
        <f>IF((Dati!D199-Dati!E199+Dati!K199)&gt;0,((Dati!J199)/(Dati!D199-Dati!E199+Dati!K199)),0)</f>
        <v>1</v>
      </c>
      <c r="G85" s="52">
        <f>IF(Dati!$F$228&gt;0,(Dati!F199/Dati!$F$228),0)</f>
        <v>5.777211354556847E-06</v>
      </c>
      <c r="H85" s="52">
        <f>IF(Dati!$G$228&gt;0,(Dati!G199/Dati!$G$228),0)</f>
        <v>0</v>
      </c>
      <c r="I85" s="52">
        <f>IF(Dati!$H$228&gt;0,(Dati!H199/Dati!$H$228),0)</f>
        <v>7.3422143497694685E-06</v>
      </c>
      <c r="J85" s="52">
        <f>IF(Dati!$I$228&gt;0,(Dati!I199/Dati!$I$228),0)</f>
        <v>0</v>
      </c>
      <c r="K85" s="52">
        <f>IF((IF(Dati!$D$238=3,(Dati!$L$228+Dati!$M$228+Dati!$N$228+Dati!$O$228+Dati!$Y$228+Dati!$Q$228),(Dati!$N$228+Dati!$O$228+Dati!$Y$228+Dati!$Q$228))/Dati!$D$238)&gt;0,((IF(Dati!$D$238=3,(Dati!L199+Dati!M199+Dati!N199+Dati!O199+Dati!Y199+Dati!Q199),(Dati!N199+Dati!O199+Dati!Y199+Dati!Q199))/Dati!$D$238)/(IF(Dati!$D$238=3,(Dati!$L$228+Dati!$M$228+Dati!$N$228+Dati!$O$228+Dati!$Y$228+Dati!$Q$228),(Dati!$N$228+Dati!$O$228+Dati!$Y$228+Dati!$Q$228))/Dati!$D$238)),0)</f>
        <v>2.948080352138995E-06</v>
      </c>
      <c r="L85" s="81">
        <f>IF((IF(Dati!$D$238=3,(Dati!$M$228+Dati!$O$228+Dati!$Q$228),(Dati!$O$228+Dati!$Q$228)/Dati!$D$238))&gt;0,((IF(Dati!$D$238=3,(Dati!M199+Dati!O199+Dati!Q199),(Dati!O199+Dati!Q199)/Dati!$D$238)/(IF(Dati!$D$238=3,(Dati!$M$228+Dati!$O$228+Dati!$Q$228),(Dati!$O$228+Dati!$Q$228)/Dati!$D$238)))),0)</f>
        <v>0</v>
      </c>
      <c r="M85" s="81">
        <f>IF((IF(Dati!$D$238=3,(Dati!L199+Dati!N199+Dati!Y199+Dati!U199+Dati!V199+Dati!W199),(Dati!N199+Dati!Y199+Dati!V199+Dati!W199)/Dati!$D$238))&gt;0,((IF(Dati!$D$238=3,(Dati!R199+Dati!S199+Dati!AC199),(Dati!S199+Dati!AC199)/Dati!$D$238)/(IF(Dati!$D$238=3,(Dati!L199+Dati!N199+Dati!Y199+Dati!U199+Dati!V199+Dati!W199),(Dati!N199+Dati!Y199+Dati!V199+Dati!W199)/Dati!$D$238)))),0)</f>
        <v>1</v>
      </c>
    </row>
    <row r="86" spans="1:13" ht="36" customHeight="1">
      <c r="A86" s="173"/>
      <c r="B86" s="169" t="s">
        <v>144</v>
      </c>
      <c r="C86" s="169"/>
      <c r="D86" s="52">
        <f>IF(Dati!$D$228&gt;0,(Dati!D200/Dati!$D$228),0)</f>
        <v>0.0017780382058700927</v>
      </c>
      <c r="E86" s="52">
        <f>IF(Dati!$E$228&gt;0,(Dati!E200/Dati!$E$228),0)</f>
        <v>0.0044836333931419685</v>
      </c>
      <c r="F86" s="52">
        <f>IF((Dati!D200-Dati!E200+Dati!K200)&gt;0,((Dati!J200)/(Dati!D200-Dati!E200+Dati!K200)),0)</f>
        <v>1</v>
      </c>
      <c r="G86" s="52">
        <f>IF(Dati!$F$228&gt;0,(Dati!F200/Dati!$F$228),0)</f>
        <v>0.0018820248113399203</v>
      </c>
      <c r="H86" s="52">
        <f>IF(Dati!$G$228&gt;0,(Dati!G200/Dati!$G$228),0)</f>
        <v>0.0058706520924264516</v>
      </c>
      <c r="I86" s="52">
        <f>IF(Dati!$H$228&gt;0,(Dati!H200/Dati!$H$228),0)</f>
        <v>0.00238485401180602</v>
      </c>
      <c r="J86" s="52">
        <f>IF(Dati!$I$228&gt;0,(Dati!I200/Dati!$I$228),0)</f>
        <v>0.005870649894878564</v>
      </c>
      <c r="K86" s="52">
        <f>IF((IF(Dati!$D$238=3,(Dati!$L$228+Dati!$M$228+Dati!$N$228+Dati!$O$228+Dati!$Y$228+Dati!$Q$228),(Dati!$N$228+Dati!$O$228+Dati!$Y$228+Dati!$Q$228))/Dati!$D$238)&gt;0,((IF(Dati!$D$238=3,(Dati!L200+Dati!M200+Dati!N200+Dati!O200+Dati!Y200+Dati!Q200),(Dati!N200+Dati!O200+Dati!Y200+Dati!Q200))/Dati!$D$238)/(IF(Dati!$D$238=3,(Dati!$L$228+Dati!$M$228+Dati!$N$228+Dati!$O$228+Dati!$Y$228+Dati!$Q$228),(Dati!$N$228+Dati!$O$228+Dati!$Y$228+Dati!$Q$228))/Dati!$D$238)),0)</f>
        <v>0.004539464739312892</v>
      </c>
      <c r="L86" s="81">
        <f>IF((IF(Dati!$D$238=3,(Dati!$M$228+Dati!$O$228+Dati!$Q$228),(Dati!$O$228+Dati!$Q$228)/Dati!$D$238))&gt;0,((IF(Dati!$D$238=3,(Dati!M200+Dati!O200+Dati!Q200),(Dati!O200+Dati!Q200)/Dati!$D$238)/(IF(Dati!$D$238=3,(Dati!$M$228+Dati!$O$228+Dati!$Q$228),(Dati!$O$228+Dati!$Q$228)/Dati!$D$238)))),0)</f>
        <v>0.00849946289232664</v>
      </c>
      <c r="M86" s="81">
        <f>IF((IF(Dati!$D$238=3,(Dati!L200+Dati!N200+Dati!Y200+Dati!U200+Dati!V200+Dati!W200),(Dati!N200+Dati!Y200+Dati!V200+Dati!W200)/Dati!$D$238))&gt;0,((IF(Dati!$D$238=3,(Dati!R200+Dati!S200+Dati!AC200),(Dati!S200+Dati!AC200)/Dati!$D$238)/(IF(Dati!$D$238=3,(Dati!L200+Dati!N200+Dati!Y200+Dati!U200+Dati!V200+Dati!W200),(Dati!N200+Dati!Y200+Dati!V200+Dati!W200)/Dati!$D$238)))),0)</f>
        <v>0.9503784677946484</v>
      </c>
    </row>
    <row r="87" spans="1:13" ht="36" customHeight="1">
      <c r="A87" s="170" t="s">
        <v>809</v>
      </c>
      <c r="B87" s="77" t="s">
        <v>796</v>
      </c>
      <c r="C87" s="58" t="s">
        <v>607</v>
      </c>
      <c r="D87" s="52">
        <f>IF(Dati!$D$228&gt;0,(Dati!D201/Dati!$D$228),0)</f>
        <v>0</v>
      </c>
      <c r="E87" s="52">
        <f>IF(Dati!$E$228&gt;0,(Dati!E201/Dati!$E$228),0)</f>
        <v>0</v>
      </c>
      <c r="F87" s="52">
        <f>IF((Dati!D201-Dati!E201+Dati!K201)&gt;0,((Dati!J201)/(Dati!D201-Dati!E201+Dati!K201)),0)</f>
        <v>0</v>
      </c>
      <c r="G87" s="52">
        <f>IF(Dati!$F$228&gt;0,(Dati!F201/Dati!$F$228),0)</f>
        <v>0</v>
      </c>
      <c r="H87" s="52">
        <f>IF(Dati!$G$228&gt;0,(Dati!G201/Dati!$G$228),0)</f>
        <v>0</v>
      </c>
      <c r="I87" s="52">
        <f>IF(Dati!$H$228&gt;0,(Dati!H201/Dati!$H$228),0)</f>
        <v>0</v>
      </c>
      <c r="J87" s="52">
        <f>IF(Dati!$I$228&gt;0,(Dati!I201/Dati!$I$228),0)</f>
        <v>0</v>
      </c>
      <c r="K87" s="52">
        <f>IF((IF(Dati!$D$238=3,(Dati!$L$228+Dati!$M$228+Dati!$N$228+Dati!$O$228+Dati!$Y$228+Dati!$Q$228),(Dati!$N$228+Dati!$O$228+Dati!$Y$228+Dati!$Q$228))/Dati!$D$238)&gt;0,((IF(Dati!$D$238=3,(Dati!L201+Dati!M201+Dati!N201+Dati!O201+Dati!Y201+Dati!Q201),(Dati!N201+Dati!O201+Dati!Y201+Dati!Q201))/Dati!$D$238)/(IF(Dati!$D$238=3,(Dati!$L$228+Dati!$M$228+Dati!$N$228+Dati!$O$228+Dati!$Y$228+Dati!$Q$228),(Dati!$N$228+Dati!$O$228+Dati!$Y$228+Dati!$Q$228))/Dati!$D$238)),0)</f>
        <v>0</v>
      </c>
      <c r="L87" s="81">
        <f>IF((IF(Dati!$D$238=3,(Dati!$M$228+Dati!$O$228+Dati!$Q$228),(Dati!$O$228+Dati!$Q$228)/Dati!$D$238))&gt;0,((IF(Dati!$D$238=3,(Dati!M201+Dati!O201+Dati!Q201),(Dati!O201+Dati!Q201)/Dati!$D$238)/(IF(Dati!$D$238=3,(Dati!$M$228+Dati!$O$228+Dati!$Q$228),(Dati!$O$228+Dati!$Q$228)/Dati!$D$238)))),0)</f>
        <v>0</v>
      </c>
      <c r="M87" s="81">
        <f>IF((IF(Dati!$D$238=3,(Dati!L201+Dati!N201+Dati!Y201+Dati!U201+Dati!V201+Dati!W201),(Dati!N201+Dati!Y201+Dati!V201+Dati!W201)/Dati!$D$238))&gt;0,((IF(Dati!$D$238=3,(Dati!R201+Dati!S201+Dati!AC201),(Dati!S201+Dati!AC201)/Dati!$D$238)/(IF(Dati!$D$238=3,(Dati!L201+Dati!N201+Dati!Y201+Dati!U201+Dati!V201+Dati!W201),(Dati!N201+Dati!Y201+Dati!V201+Dati!W201)/Dati!$D$238)))),0)</f>
        <v>0</v>
      </c>
    </row>
    <row r="88" spans="1:13" ht="25.5" customHeight="1">
      <c r="A88" s="172"/>
      <c r="B88" s="77" t="s">
        <v>790</v>
      </c>
      <c r="C88" s="58" t="s">
        <v>609</v>
      </c>
      <c r="D88" s="52">
        <f>IF(Dati!$D$228&gt;0,(Dati!D202/Dati!$D$228),0)</f>
        <v>0</v>
      </c>
      <c r="E88" s="52">
        <f>IF(Dati!$E$228&gt;0,(Dati!E202/Dati!$E$228),0)</f>
        <v>0</v>
      </c>
      <c r="F88" s="52">
        <f>IF((Dati!D202-Dati!E202+Dati!K202)&gt;0,((Dati!J202)/(Dati!D202-Dati!E202+Dati!K202)),0)</f>
        <v>0</v>
      </c>
      <c r="G88" s="52">
        <f>IF(Dati!$F$228&gt;0,(Dati!F202/Dati!$F$228),0)</f>
        <v>0</v>
      </c>
      <c r="H88" s="52">
        <f>IF(Dati!$G$228&gt;0,(Dati!G202/Dati!$G$228),0)</f>
        <v>0</v>
      </c>
      <c r="I88" s="52">
        <f>IF(Dati!$H$228&gt;0,(Dati!H202/Dati!$H$228),0)</f>
        <v>0</v>
      </c>
      <c r="J88" s="52">
        <f>IF(Dati!$I$228&gt;0,(Dati!I202/Dati!$I$228),0)</f>
        <v>0</v>
      </c>
      <c r="K88" s="52">
        <f>IF((IF(Dati!$D$238=3,(Dati!$L$228+Dati!$M$228+Dati!$N$228+Dati!$O$228+Dati!$Y$228+Dati!$Q$228),(Dati!$N$228+Dati!$O$228+Dati!$Y$228+Dati!$Q$228))/Dati!$D$238)&gt;0,((IF(Dati!$D$238=3,(Dati!L202+Dati!M202+Dati!N202+Dati!O202+Dati!Y202+Dati!Q202),(Dati!N202+Dati!O202+Dati!Y202+Dati!Q202))/Dati!$D$238)/(IF(Dati!$D$238=3,(Dati!$L$228+Dati!$M$228+Dati!$N$228+Dati!$O$228+Dati!$Y$228+Dati!$Q$228),(Dati!$N$228+Dati!$O$228+Dati!$Y$228+Dati!$Q$228))/Dati!$D$238)),0)</f>
        <v>0</v>
      </c>
      <c r="L88" s="81">
        <f>IF((IF(Dati!$D$238=3,(Dati!$M$228+Dati!$O$228+Dati!$Q$228),(Dati!$O$228+Dati!$Q$228)/Dati!$D$238))&gt;0,((IF(Dati!$D$238=3,(Dati!M202+Dati!O202+Dati!Q202),(Dati!O202+Dati!Q202)/Dati!$D$238)/(IF(Dati!$D$238=3,(Dati!$M$228+Dati!$O$228+Dati!$Q$228),(Dati!$O$228+Dati!$Q$228)/Dati!$D$238)))),0)</f>
        <v>0</v>
      </c>
      <c r="M88" s="81">
        <f>IF((IF(Dati!$D$238=3,(Dati!L202+Dati!N202+Dati!Y202+Dati!U202+Dati!V202+Dati!W202),(Dati!N202+Dati!Y202+Dati!V202+Dati!W202)/Dati!$D$238))&gt;0,((IF(Dati!$D$238=3,(Dati!R202+Dati!S202+Dati!AC202),(Dati!S202+Dati!AC202)/Dati!$D$238)/(IF(Dati!$D$238=3,(Dati!L202+Dati!N202+Dati!Y202+Dati!U202+Dati!V202+Dati!W202),(Dati!N202+Dati!Y202+Dati!V202+Dati!W202)/Dati!$D$238)))),0)</f>
        <v>0</v>
      </c>
    </row>
    <row r="89" spans="1:13" ht="24" customHeight="1">
      <c r="A89" s="172"/>
      <c r="B89" s="77" t="s">
        <v>780</v>
      </c>
      <c r="C89" s="58" t="s">
        <v>145</v>
      </c>
      <c r="D89" s="52">
        <f>IF(Dati!$D$228&gt;0,(Dati!D203/Dati!$D$228),0)</f>
        <v>0</v>
      </c>
      <c r="E89" s="52">
        <f>IF(Dati!$E$228&gt;0,(Dati!E203/Dati!$E$228),0)</f>
        <v>0</v>
      </c>
      <c r="F89" s="52">
        <f>IF((Dati!D203-Dati!E203+Dati!K203)&gt;0,((Dati!J203)/(Dati!D203-Dati!E203+Dati!K203)),0)</f>
        <v>0</v>
      </c>
      <c r="G89" s="52">
        <f>IF(Dati!$F$228&gt;0,(Dati!F203/Dati!$F$228),0)</f>
        <v>0</v>
      </c>
      <c r="H89" s="52">
        <f>IF(Dati!$G$228&gt;0,(Dati!G203/Dati!$G$228),0)</f>
        <v>0</v>
      </c>
      <c r="I89" s="52">
        <f>IF(Dati!$H$228&gt;0,(Dati!H203/Dati!$H$228),0)</f>
        <v>0</v>
      </c>
      <c r="J89" s="52">
        <f>IF(Dati!$I$228&gt;0,(Dati!I203/Dati!$I$228),0)</f>
        <v>0</v>
      </c>
      <c r="K89" s="52">
        <f>IF((IF(Dati!$D$238=3,(Dati!$L$228+Dati!$M$228+Dati!$N$228+Dati!$O$228+Dati!$Y$228+Dati!$Q$228),(Dati!$N$228+Dati!$O$228+Dati!$Y$228+Dati!$Q$228))/Dati!$D$238)&gt;0,((IF(Dati!$D$238=3,(Dati!L203+Dati!M203+Dati!N203+Dati!O203+Dati!Y203+Dati!Q203),(Dati!N203+Dati!O203+Dati!Y203+Dati!Q203))/Dati!$D$238)/(IF(Dati!$D$238=3,(Dati!$L$228+Dati!$M$228+Dati!$N$228+Dati!$O$228+Dati!$Y$228+Dati!$Q$228),(Dati!$N$228+Dati!$O$228+Dati!$Y$228+Dati!$Q$228))/Dati!$D$238)),0)</f>
        <v>0</v>
      </c>
      <c r="L89" s="81">
        <f>IF((IF(Dati!$D$238=3,(Dati!$M$228+Dati!$O$228+Dati!$Q$228),(Dati!$O$228+Dati!$Q$228)/Dati!$D$238))&gt;0,((IF(Dati!$D$238=3,(Dati!M203+Dati!O203+Dati!Q203),(Dati!O203+Dati!Q203)/Dati!$D$238)/(IF(Dati!$D$238=3,(Dati!$M$228+Dati!$O$228+Dati!$Q$228),(Dati!$O$228+Dati!$Q$228)/Dati!$D$238)))),0)</f>
        <v>0</v>
      </c>
      <c r="M89" s="81">
        <f>IF((IF(Dati!$D$238=3,(Dati!L203+Dati!N203+Dati!Y203+Dati!U203+Dati!V203+Dati!W203),(Dati!N203+Dati!Y203+Dati!V203+Dati!W203)/Dati!$D$238))&gt;0,((IF(Dati!$D$238=3,(Dati!R203+Dati!S203+Dati!AC203),(Dati!S203+Dati!AC203)/Dati!$D$238)/(IF(Dati!$D$238=3,(Dati!L203+Dati!N203+Dati!Y203+Dati!U203+Dati!V203+Dati!W203),(Dati!N203+Dati!Y203+Dati!V203+Dati!W203)/Dati!$D$238)))),0)</f>
        <v>0</v>
      </c>
    </row>
    <row r="90" spans="1:13" ht="36" customHeight="1">
      <c r="A90" s="173"/>
      <c r="B90" s="169" t="s">
        <v>810</v>
      </c>
      <c r="C90" s="169"/>
      <c r="D90" s="52">
        <f>IF(Dati!$D$228&gt;0,(Dati!D204/Dati!$D$228),0)</f>
        <v>0</v>
      </c>
      <c r="E90" s="52">
        <f>IF(Dati!$E$228&gt;0,(Dati!E204/Dati!$E$228),0)</f>
        <v>0</v>
      </c>
      <c r="F90" s="52">
        <f>IF((Dati!D204-Dati!E204+Dati!K204)&gt;0,((Dati!J204)/(Dati!D204-Dati!E204+Dati!K204)),0)</f>
        <v>0</v>
      </c>
      <c r="G90" s="52">
        <f>IF(Dati!$F$228&gt;0,(Dati!F204/Dati!$F$228),0)</f>
        <v>0</v>
      </c>
      <c r="H90" s="52">
        <f>IF(Dati!$G$228&gt;0,(Dati!G204/Dati!$G$228),0)</f>
        <v>0</v>
      </c>
      <c r="I90" s="52">
        <f>IF(Dati!$H$228&gt;0,(Dati!H204/Dati!$H$228),0)</f>
        <v>0</v>
      </c>
      <c r="J90" s="52">
        <f>IF(Dati!$I$228&gt;0,(Dati!I204/Dati!$I$228),0)</f>
        <v>0</v>
      </c>
      <c r="K90" s="52">
        <f>IF((IF(Dati!$D$238=3,(Dati!$L$228+Dati!$M$228+Dati!$N$228+Dati!$O$228+Dati!$Y$228+Dati!$Q$228),(Dati!$N$228+Dati!$O$228+Dati!$Y$228+Dati!$Q$228))/Dati!$D$238)&gt;0,((IF(Dati!$D$238=3,(Dati!L204+Dati!M204+Dati!N204+Dati!O204+Dati!Y204+Dati!Q204),(Dati!N204+Dati!O204+Dati!Y204+Dati!Q204))/Dati!$D$238)/(IF(Dati!$D$238=3,(Dati!$L$228+Dati!$M$228+Dati!$N$228+Dati!$O$228+Dati!$Y$228+Dati!$Q$228),(Dati!$N$228+Dati!$O$228+Dati!$Y$228+Dati!$Q$228))/Dati!$D$238)),0)</f>
        <v>0</v>
      </c>
      <c r="L90" s="81">
        <f>IF((IF(Dati!$D$238=3,(Dati!$M$228+Dati!$O$228+Dati!$Q$228),(Dati!$O$228+Dati!$Q$228)/Dati!$D$238))&gt;0,((IF(Dati!$D$238=3,(Dati!M204+Dati!O204+Dati!Q204),(Dati!O204+Dati!Q204)/Dati!$D$238)/(IF(Dati!$D$238=3,(Dati!$M$228+Dati!$O$228+Dati!$Q$228),(Dati!$O$228+Dati!$Q$228)/Dati!$D$238)))),0)</f>
        <v>0</v>
      </c>
      <c r="M90" s="81">
        <f>IF((IF(Dati!$D$238=3,(Dati!L204+Dati!N204+Dati!Y204+Dati!U204+Dati!V204+Dati!W204),(Dati!N204+Dati!Y204+Dati!V204+Dati!W204)/Dati!$D$238))&gt;0,((IF(Dati!$D$238=3,(Dati!R204+Dati!S204+Dati!AC204),(Dati!S204+Dati!AC204)/Dati!$D$238)/(IF(Dati!$D$238=3,(Dati!L204+Dati!N204+Dati!Y204+Dati!U204+Dati!V204+Dati!W204),(Dati!N204+Dati!Y204+Dati!V204+Dati!W204)/Dati!$D$238)))),0)</f>
        <v>0</v>
      </c>
    </row>
    <row r="91" spans="1:13" ht="36" customHeight="1">
      <c r="A91" s="170" t="s">
        <v>811</v>
      </c>
      <c r="B91" s="77" t="s">
        <v>796</v>
      </c>
      <c r="C91" s="58" t="s">
        <v>615</v>
      </c>
      <c r="D91" s="52">
        <f>IF(Dati!$D$228&gt;0,(Dati!D205/Dati!$D$228),0)</f>
        <v>0</v>
      </c>
      <c r="E91" s="52">
        <f>IF(Dati!$E$228&gt;0,(Dati!E205/Dati!$E$228),0)</f>
        <v>0</v>
      </c>
      <c r="F91" s="52">
        <f>IF((Dati!D205-Dati!E205+Dati!K205)&gt;0,((Dati!J205)/(Dati!D205-Dati!E205+Dati!K205)),0)</f>
        <v>0</v>
      </c>
      <c r="G91" s="52">
        <f>IF(Dati!$F$228&gt;0,(Dati!F205/Dati!$F$228),0)</f>
        <v>0</v>
      </c>
      <c r="H91" s="52">
        <f>IF(Dati!$G$228&gt;0,(Dati!G205/Dati!$G$228),0)</f>
        <v>0</v>
      </c>
      <c r="I91" s="52">
        <f>IF(Dati!$H$228&gt;0,(Dati!H205/Dati!$H$228),0)</f>
        <v>0</v>
      </c>
      <c r="J91" s="52">
        <f>IF(Dati!$I$228&gt;0,(Dati!I205/Dati!$I$228),0)</f>
        <v>0</v>
      </c>
      <c r="K91" s="52">
        <f>IF((IF(Dati!$D$238=3,(Dati!$L$228+Dati!$M$228+Dati!$N$228+Dati!$O$228+Dati!$Y$228+Dati!$Q$228),(Dati!$N$228+Dati!$O$228+Dati!$Y$228+Dati!$Q$228))/Dati!$D$238)&gt;0,((IF(Dati!$D$238=3,(Dati!L205+Dati!M205+Dati!N205+Dati!O205+Dati!Y205+Dati!Q205),(Dati!N205+Dati!O205+Dati!Y205+Dati!Q205))/Dati!$D$238)/(IF(Dati!$D$238=3,(Dati!$L$228+Dati!$M$228+Dati!$N$228+Dati!$O$228+Dati!$Y$228+Dati!$Q$228),(Dati!$N$228+Dati!$O$228+Dati!$Y$228+Dati!$Q$228))/Dati!$D$238)),0)</f>
        <v>0</v>
      </c>
      <c r="L91" s="81">
        <f>IF((IF(Dati!$D$238=3,(Dati!$M$228+Dati!$O$228+Dati!$Q$228),(Dati!$O$228+Dati!$Q$228)/Dati!$D$238))&gt;0,((IF(Dati!$D$238=3,(Dati!M205+Dati!O205+Dati!Q205),(Dati!O205+Dati!Q205)/Dati!$D$238)/(IF(Dati!$D$238=3,(Dati!$M$228+Dati!$O$228+Dati!$Q$228),(Dati!$O$228+Dati!$Q$228)/Dati!$D$238)))),0)</f>
        <v>0</v>
      </c>
      <c r="M91" s="81">
        <f>IF((IF(Dati!$D$238=3,(Dati!L205+Dati!N205+Dati!Y205+Dati!U205+Dati!V205+Dati!W205),(Dati!N205+Dati!Y205+Dati!V205+Dati!W205)/Dati!$D$238))&gt;0,((IF(Dati!$D$238=3,(Dati!R205+Dati!S205+Dati!AC205),(Dati!S205+Dati!AC205)/Dati!$D$238)/(IF(Dati!$D$238=3,(Dati!L205+Dati!N205+Dati!Y205+Dati!U205+Dati!V205+Dati!W205),(Dati!N205+Dati!Y205+Dati!V205+Dati!W205)/Dati!$D$238)))),0)</f>
        <v>0</v>
      </c>
    </row>
    <row r="92" spans="1:13" ht="36" customHeight="1">
      <c r="A92" s="172"/>
      <c r="B92" s="77" t="s">
        <v>790</v>
      </c>
      <c r="C92" s="58" t="s">
        <v>617</v>
      </c>
      <c r="D92" s="52">
        <f>IF(Dati!$D$228&gt;0,(Dati!D206/Dati!$D$228),0)</f>
        <v>0</v>
      </c>
      <c r="E92" s="52">
        <f>IF(Dati!$E$228&gt;0,(Dati!E206/Dati!$E$228),0)</f>
        <v>0</v>
      </c>
      <c r="F92" s="52">
        <f>IF((Dati!D206-Dati!E206+Dati!K206)&gt;0,((Dati!J206)/(Dati!D206-Dati!E206+Dati!K206)),0)</f>
        <v>0</v>
      </c>
      <c r="G92" s="52">
        <f>IF(Dati!$F$228&gt;0,(Dati!F206/Dati!$F$228),0)</f>
        <v>0</v>
      </c>
      <c r="H92" s="52">
        <f>IF(Dati!$G$228&gt;0,(Dati!G206/Dati!$G$228),0)</f>
        <v>0</v>
      </c>
      <c r="I92" s="52">
        <f>IF(Dati!$H$228&gt;0,(Dati!H206/Dati!$H$228),0)</f>
        <v>0</v>
      </c>
      <c r="J92" s="52">
        <f>IF(Dati!$I$228&gt;0,(Dati!I206/Dati!$I$228),0)</f>
        <v>0</v>
      </c>
      <c r="K92" s="52">
        <f>IF((IF(Dati!$D$238=3,(Dati!$L$228+Dati!$M$228+Dati!$N$228+Dati!$O$228+Dati!$Y$228+Dati!$Q$228),(Dati!$N$228+Dati!$O$228+Dati!$Y$228+Dati!$Q$228))/Dati!$D$238)&gt;0,((IF(Dati!$D$238=3,(Dati!L206+Dati!M206+Dati!N206+Dati!O206+Dati!Y206+Dati!Q206),(Dati!N206+Dati!O206+Dati!Y206+Dati!Q206))/Dati!$D$238)/(IF(Dati!$D$238=3,(Dati!$L$228+Dati!$M$228+Dati!$N$228+Dati!$O$228+Dati!$Y$228+Dati!$Q$228),(Dati!$N$228+Dati!$O$228+Dati!$Y$228+Dati!$Q$228))/Dati!$D$238)),0)</f>
        <v>0</v>
      </c>
      <c r="L92" s="81">
        <f>IF((IF(Dati!$D$238=3,(Dati!$M$228+Dati!$O$228+Dati!$Q$228),(Dati!$O$228+Dati!$Q$228)/Dati!$D$238))&gt;0,((IF(Dati!$D$238=3,(Dati!M206+Dati!O206+Dati!Q206),(Dati!O206+Dati!Q206)/Dati!$D$238)/(IF(Dati!$D$238=3,(Dati!$M$228+Dati!$O$228+Dati!$Q$228),(Dati!$O$228+Dati!$Q$228)/Dati!$D$238)))),0)</f>
        <v>0</v>
      </c>
      <c r="M92" s="81">
        <f>IF((IF(Dati!$D$238=3,(Dati!L206+Dati!N206+Dati!Y206+Dati!U206+Dati!V206+Dati!W206),(Dati!N206+Dati!Y206+Dati!V206+Dati!W206)/Dati!$D$238))&gt;0,((IF(Dati!$D$238=3,(Dati!R206+Dati!S206+Dati!AC206),(Dati!S206+Dati!AC206)/Dati!$D$238)/(IF(Dati!$D$238=3,(Dati!L206+Dati!N206+Dati!Y206+Dati!U206+Dati!V206+Dati!W206),(Dati!N206+Dati!Y206+Dati!V206+Dati!W206)/Dati!$D$238)))),0)</f>
        <v>0</v>
      </c>
    </row>
    <row r="93" spans="1:13" ht="36" customHeight="1">
      <c r="A93" s="173"/>
      <c r="B93" s="169" t="s">
        <v>812</v>
      </c>
      <c r="C93" s="169"/>
      <c r="D93" s="52">
        <f>IF(Dati!$D$228&gt;0,(Dati!D207/Dati!$D$228),0)</f>
        <v>0</v>
      </c>
      <c r="E93" s="52">
        <f>IF(Dati!$E$228&gt;0,(Dati!E207/Dati!$E$228),0)</f>
        <v>0</v>
      </c>
      <c r="F93" s="52">
        <f>IF((Dati!D207-Dati!E207+Dati!K207)&gt;0,((Dati!J207)/(Dati!D207-Dati!E207+Dati!K207)),0)</f>
        <v>0</v>
      </c>
      <c r="G93" s="52">
        <f>IF(Dati!$F$228&gt;0,(Dati!F207/Dati!$F$228),0)</f>
        <v>0</v>
      </c>
      <c r="H93" s="52">
        <f>IF(Dati!$G$228&gt;0,(Dati!G207/Dati!$G$228),0)</f>
        <v>0</v>
      </c>
      <c r="I93" s="52">
        <f>IF(Dati!$H$228&gt;0,(Dati!H207/Dati!$H$228),0)</f>
        <v>0</v>
      </c>
      <c r="J93" s="52">
        <f>IF(Dati!$I$228&gt;0,(Dati!I207/Dati!$I$228),0)</f>
        <v>0</v>
      </c>
      <c r="K93" s="52">
        <f>IF((IF(Dati!$D$238=3,(Dati!$L$228+Dati!$M$228+Dati!$N$228+Dati!$O$228+Dati!$Y$228+Dati!$Q$228),(Dati!$N$228+Dati!$O$228+Dati!$Y$228+Dati!$Q$228))/Dati!$D$238)&gt;0,((IF(Dati!$D$238=3,(Dati!L207+Dati!M207+Dati!N207+Dati!O207+Dati!Y207+Dati!Q207),(Dati!N207+Dati!O207+Dati!Y207+Dati!Q207))/Dati!$D$238)/(IF(Dati!$D$238=3,(Dati!$L$228+Dati!$M$228+Dati!$N$228+Dati!$O$228+Dati!$Y$228+Dati!$Q$228),(Dati!$N$228+Dati!$O$228+Dati!$Y$228+Dati!$Q$228))/Dati!$D$238)),0)</f>
        <v>0</v>
      </c>
      <c r="L93" s="81">
        <f>IF((IF(Dati!$D$238=3,(Dati!$M$228+Dati!$O$228+Dati!$Q$228),(Dati!$O$228+Dati!$Q$228)/Dati!$D$238))&gt;0,((IF(Dati!$D$238=3,(Dati!M207+Dati!O207+Dati!Q207),(Dati!O207+Dati!Q207)/Dati!$D$238)/(IF(Dati!$D$238=3,(Dati!$M$228+Dati!$O$228+Dati!$Q$228),(Dati!$O$228+Dati!$Q$228)/Dati!$D$238)))),0)</f>
        <v>0</v>
      </c>
      <c r="M93" s="81">
        <f>IF((IF(Dati!$D$238=3,(Dati!L207+Dati!N207+Dati!Y207+Dati!U207+Dati!V207+Dati!W207),(Dati!N207+Dati!Y207+Dati!V207+Dati!W207)/Dati!$D$238))&gt;0,((IF(Dati!$D$238=3,(Dati!R207+Dati!S207+Dati!AC207),(Dati!S207+Dati!AC207)/Dati!$D$238)/(IF(Dati!$D$238=3,(Dati!L207+Dati!N207+Dati!Y207+Dati!U207+Dati!V207+Dati!W207),(Dati!N207+Dati!Y207+Dati!V207+Dati!W207)/Dati!$D$238)))),0)</f>
        <v>0</v>
      </c>
    </row>
    <row r="94" spans="1:13" ht="36" customHeight="1">
      <c r="A94" s="170" t="s">
        <v>813</v>
      </c>
      <c r="B94" s="77" t="s">
        <v>778</v>
      </c>
      <c r="C94" s="58" t="s">
        <v>621</v>
      </c>
      <c r="D94" s="52">
        <f>IF(Dati!$D$228&gt;0,(Dati!D208/Dati!$D$228),0)</f>
        <v>0.024882208314674217</v>
      </c>
      <c r="E94" s="52">
        <f>IF(Dati!$E$228&gt;0,(Dati!E208/Dati!$E$228),0)</f>
        <v>0</v>
      </c>
      <c r="F94" s="52">
        <f>IF((Dati!D208-Dati!E208+Dati!K208)&gt;0,((Dati!J208)/(Dati!D208-Dati!E208+Dati!K208)),0)</f>
        <v>1</v>
      </c>
      <c r="G94" s="52">
        <f>IF(Dati!$F$228&gt;0,(Dati!F208/Dati!$F$228),0)</f>
        <v>0.038770656554240536</v>
      </c>
      <c r="H94" s="52">
        <f>IF(Dati!$G$228&gt;0,(Dati!G208/Dati!$G$228),0)</f>
        <v>0</v>
      </c>
      <c r="I94" s="52">
        <f>IF(Dati!$H$228&gt;0,(Dati!H208/Dati!$H$228),0)</f>
        <v>0.025615199872705094</v>
      </c>
      <c r="J94" s="52">
        <f>IF(Dati!$I$228&gt;0,(Dati!I208/Dati!$I$228),0)</f>
        <v>0</v>
      </c>
      <c r="K94" s="52">
        <f>IF((IF(Dati!$D$238=3,(Dati!$L$228+Dati!$M$228+Dati!$N$228+Dati!$O$228+Dati!$Y$228+Dati!$Q$228),(Dati!$N$228+Dati!$O$228+Dati!$Y$228+Dati!$Q$228))/Dati!$D$238)&gt;0,((IF(Dati!$D$238=3,(Dati!L208+Dati!M208+Dati!N208+Dati!O208+Dati!Y208+Dati!Q208),(Dati!N208+Dati!O208+Dati!Y208+Dati!Q208))/Dati!$D$238)/(IF(Dati!$D$238=3,(Dati!$L$228+Dati!$M$228+Dati!$N$228+Dati!$O$228+Dati!$Y$228+Dati!$Q$228),(Dati!$N$228+Dati!$O$228+Dati!$Y$228+Dati!$Q$228))/Dati!$D$238)),0)</f>
        <v>0.01035244786232358</v>
      </c>
      <c r="L94" s="81">
        <f>IF((IF(Dati!$D$238=3,(Dati!$M$228+Dati!$O$228+Dati!$Q$228),(Dati!$O$228+Dati!$Q$228)/Dati!$D$238))&gt;0,((IF(Dati!$D$238=3,(Dati!M208+Dati!O208+Dati!Q208),(Dati!O208+Dati!Q208)/Dati!$D$238)/(IF(Dati!$D$238=3,(Dati!$M$228+Dati!$O$228+Dati!$Q$228),(Dati!$O$228+Dati!$Q$228)/Dati!$D$238)))),0)</f>
        <v>0</v>
      </c>
      <c r="M94" s="81">
        <f>IF((IF(Dati!$D$238=3,(Dati!L208+Dati!N208+Dati!Y208+Dati!U208+Dati!V208+Dati!W208),(Dati!N208+Dati!Y208+Dati!V208+Dati!W208)/Dati!$D$238))&gt;0,((IF(Dati!$D$238=3,(Dati!R208+Dati!S208+Dati!AC208),(Dati!S208+Dati!AC208)/Dati!$D$238)/(IF(Dati!$D$238=3,(Dati!L208+Dati!N208+Dati!Y208+Dati!U208+Dati!V208+Dati!W208),(Dati!N208+Dati!Y208+Dati!V208+Dati!W208)/Dati!$D$238)))),0)</f>
        <v>1</v>
      </c>
    </row>
    <row r="95" spans="1:13" ht="45" customHeight="1">
      <c r="A95" s="173"/>
      <c r="B95" s="175" t="s">
        <v>814</v>
      </c>
      <c r="C95" s="176"/>
      <c r="D95" s="52">
        <f>IF(Dati!$D$228&gt;0,(Dati!D209/Dati!$D$228),0)</f>
        <v>0.024882208314674217</v>
      </c>
      <c r="E95" s="52">
        <f>IF(Dati!$E$228&gt;0,(Dati!E209/Dati!$E$228),0)</f>
        <v>0</v>
      </c>
      <c r="F95" s="52">
        <f>IF((Dati!D209-Dati!E209+Dati!K209)&gt;0,((Dati!J209)/(Dati!D209-Dati!E209+Dati!K209)),0)</f>
        <v>1</v>
      </c>
      <c r="G95" s="52">
        <f>IF(Dati!$F$228&gt;0,(Dati!F209/Dati!$F$228),0)</f>
        <v>0.038770656554240536</v>
      </c>
      <c r="H95" s="52">
        <f>IF(Dati!$G$228&gt;0,(Dati!G209/Dati!$G$228),0)</f>
        <v>0</v>
      </c>
      <c r="I95" s="52">
        <f>IF(Dati!$H$228&gt;0,(Dati!H209/Dati!$H$228),0)</f>
        <v>0.025615199872705094</v>
      </c>
      <c r="J95" s="52">
        <f>IF(Dati!$I$228&gt;0,(Dati!I209/Dati!$I$228),0)</f>
        <v>0</v>
      </c>
      <c r="K95" s="52">
        <f>IF((IF(Dati!$D$238=3,(Dati!$L$228+Dati!$M$228+Dati!$N$228+Dati!$O$228+Dati!$Y$228+Dati!$Q$228),(Dati!$N$228+Dati!$O$228+Dati!$Y$228+Dati!$Q$228))/Dati!$D$238)&gt;0,((IF(Dati!$D$238=3,(Dati!L209+Dati!M209+Dati!N209+Dati!O209+Dati!Y209+Dati!Q209),(Dati!N209+Dati!O209+Dati!Y209+Dati!Q209))/Dati!$D$238)/(IF(Dati!$D$238=3,(Dati!$L$228+Dati!$M$228+Dati!$N$228+Dati!$O$228+Dati!$Y$228+Dati!$Q$228),(Dati!$N$228+Dati!$O$228+Dati!$Y$228+Dati!$Q$228))/Dati!$D$238)),0)</f>
        <v>0.01035244786232358</v>
      </c>
      <c r="L95" s="81">
        <f>IF((IF(Dati!$D$238=3,(Dati!$M$228+Dati!$O$228+Dati!$Q$228),(Dati!$O$228+Dati!$Q$228)/Dati!$D$238))&gt;0,((IF(Dati!$D$238=3,(Dati!M209+Dati!O209+Dati!Q209),(Dati!O209+Dati!Q209)/Dati!$D$238)/(IF(Dati!$D$238=3,(Dati!$M$228+Dati!$O$228+Dati!$Q$228),(Dati!$O$228+Dati!$Q$228)/Dati!$D$238)))),0)</f>
        <v>0</v>
      </c>
      <c r="M95" s="81">
        <f>IF((IF(Dati!$D$238=3,(Dati!L209+Dati!N209+Dati!Y209+Dati!U209+Dati!V209+Dati!W209),(Dati!N209+Dati!Y209+Dati!V209+Dati!W209)/Dati!$D$238))&gt;0,((IF(Dati!$D$238=3,(Dati!R209+Dati!S209+Dati!AC209),(Dati!S209+Dati!AC209)/Dati!$D$238)/(IF(Dati!$D$238=3,(Dati!L209+Dati!N209+Dati!Y209+Dati!U209+Dati!V209+Dati!W209),(Dati!N209+Dati!Y209+Dati!V209+Dati!W209)/Dati!$D$238)))),0)</f>
        <v>1</v>
      </c>
    </row>
    <row r="96" spans="1:13" ht="36" customHeight="1">
      <c r="A96" s="170" t="s">
        <v>815</v>
      </c>
      <c r="B96" s="77" t="s">
        <v>778</v>
      </c>
      <c r="C96" s="58" t="s">
        <v>625</v>
      </c>
      <c r="D96" s="52">
        <f>IF(Dati!$D$228&gt;0,(Dati!D210/Dati!$D$228),0)</f>
        <v>0.0012760343439120036</v>
      </c>
      <c r="E96" s="52">
        <f>IF(Dati!$E$228&gt;0,(Dati!E210/Dati!$E$228),0)</f>
        <v>0</v>
      </c>
      <c r="F96" s="52">
        <f>IF((Dati!D210-Dati!E210+Dati!K210)&gt;0,((Dati!J210)/(Dati!D210-Dati!E210+Dati!K210)),0)</f>
        <v>1</v>
      </c>
      <c r="G96" s="52">
        <f>IF(Dati!$F$228&gt;0,(Dati!F210/Dati!$F$228),0)</f>
        <v>0.00133652433905087</v>
      </c>
      <c r="H96" s="52">
        <f>IF(Dati!$G$228&gt;0,(Dati!G210/Dati!$G$228),0)</f>
        <v>0</v>
      </c>
      <c r="I96" s="52">
        <f>IF(Dati!$H$228&gt;0,(Dati!H210/Dati!$H$228),0)</f>
        <v>0.0016985787049759377</v>
      </c>
      <c r="J96" s="52">
        <f>IF(Dati!$I$228&gt;0,(Dati!I210/Dati!$I$228),0)</f>
        <v>0</v>
      </c>
      <c r="K96" s="52">
        <f>IF((IF(Dati!$D$238=3,(Dati!$L$228+Dati!$M$228+Dati!$N$228+Dati!$O$228+Dati!$Y$228+Dati!$Q$228),(Dati!$N$228+Dati!$O$228+Dati!$Y$228+Dati!$Q$228))/Dati!$D$238)&gt;0,((IF(Dati!$D$238=3,(Dati!L210+Dati!M210+Dati!N210+Dati!O210+Dati!Y210+Dati!Q210),(Dati!N210+Dati!O210+Dati!Y210+Dati!Q210))/Dati!$D$238)/(IF(Dati!$D$238=3,(Dati!$L$228+Dati!$M$228+Dati!$N$228+Dati!$O$228+Dati!$Y$228+Dati!$Q$228),(Dati!$N$228+Dati!$O$228+Dati!$Y$228+Dati!$Q$228))/Dati!$D$238)),0)</f>
        <v>0.002046063871803942</v>
      </c>
      <c r="L96" s="81">
        <f>IF((IF(Dati!$D$238=3,(Dati!$M$228+Dati!$O$228+Dati!$Q$228),(Dati!$O$228+Dati!$Q$228)/Dati!$D$238))&gt;0,((IF(Dati!$D$238=3,(Dati!M210+Dati!O210+Dati!Q210),(Dati!O210+Dati!Q210)/Dati!$D$238)/(IF(Dati!$D$238=3,(Dati!$M$228+Dati!$O$228+Dati!$Q$228),(Dati!$O$228+Dati!$Q$228)/Dati!$D$238)))),0)</f>
        <v>0</v>
      </c>
      <c r="M96" s="81">
        <f>IF((IF(Dati!$D$238=3,(Dati!L210+Dati!N210+Dati!Y210+Dati!U210+Dati!V210+Dati!W210),(Dati!N210+Dati!Y210+Dati!V210+Dati!W210)/Dati!$D$238))&gt;0,((IF(Dati!$D$238=3,(Dati!R210+Dati!S210+Dati!AC210),(Dati!S210+Dati!AC210)/Dati!$D$238)/(IF(Dati!$D$238=3,(Dati!L210+Dati!N210+Dati!Y210+Dati!U210+Dati!V210+Dati!W210),(Dati!N210+Dati!Y210+Dati!V210+Dati!W210)/Dati!$D$238)))),0)</f>
        <v>1</v>
      </c>
    </row>
    <row r="97" spans="1:13" ht="36" customHeight="1">
      <c r="A97" s="173"/>
      <c r="B97" s="175" t="s">
        <v>816</v>
      </c>
      <c r="C97" s="176"/>
      <c r="D97" s="52">
        <f>IF(Dati!$D$228&gt;0,(Dati!D211/Dati!$D$228),0)</f>
        <v>0.0012760343439120036</v>
      </c>
      <c r="E97" s="52">
        <f>IF(Dati!$E$228&gt;0,(Dati!E211/Dati!$E$228),0)</f>
        <v>0</v>
      </c>
      <c r="F97" s="52">
        <f>IF((Dati!D211-Dati!E211+Dati!K211)&gt;0,((Dati!J211)/(Dati!D211-Dati!E211+Dati!K211)),0)</f>
        <v>1</v>
      </c>
      <c r="G97" s="52">
        <f>IF(Dati!$F$228&gt;0,(Dati!F211/Dati!$F$228),0)</f>
        <v>0.00133652433905087</v>
      </c>
      <c r="H97" s="52">
        <f>IF(Dati!$G$228&gt;0,(Dati!G211/Dati!$G$228),0)</f>
        <v>0</v>
      </c>
      <c r="I97" s="52">
        <f>IF(Dati!$H$228&gt;0,(Dati!H211/Dati!$H$228),0)</f>
        <v>0.0016985787049759377</v>
      </c>
      <c r="J97" s="52">
        <f>IF(Dati!$I$228&gt;0,(Dati!I211/Dati!$I$228),0)</f>
        <v>0</v>
      </c>
      <c r="K97" s="52">
        <f>IF((IF(Dati!$D$238=3,(Dati!$L$228+Dati!$M$228+Dati!$N$228+Dati!$O$228+Dati!$Y$228+Dati!$Q$228),(Dati!$N$228+Dati!$O$228+Dati!$Y$228+Dati!$Q$228))/Dati!$D$238)&gt;0,((IF(Dati!$D$238=3,(Dati!L211+Dati!M211+Dati!N211+Dati!O211+Dati!Y211+Dati!Q211),(Dati!N211+Dati!O211+Dati!Y211+Dati!Q211))/Dati!$D$238)/(IF(Dati!$D$238=3,(Dati!$L$228+Dati!$M$228+Dati!$N$228+Dati!$O$228+Dati!$Y$228+Dati!$Q$228),(Dati!$N$228+Dati!$O$228+Dati!$Y$228+Dati!$Q$228))/Dati!$D$238)),0)</f>
        <v>0.002046063871803942</v>
      </c>
      <c r="L97" s="81">
        <f>IF((IF(Dati!$D$238=3,(Dati!$M$228+Dati!$O$228+Dati!$Q$228),(Dati!$O$228+Dati!$Q$228)/Dati!$D$238))&gt;0,((IF(Dati!$D$238=3,(Dati!M211+Dati!O211+Dati!Q211),(Dati!O211+Dati!Q211)/Dati!$D$238)/(IF(Dati!$D$238=3,(Dati!$M$228+Dati!$O$228+Dati!$Q$228),(Dati!$O$228+Dati!$Q$228)/Dati!$D$238)))),0)</f>
        <v>0</v>
      </c>
      <c r="M97" s="81">
        <f>IF((IF(Dati!$D$238=3,(Dati!L211+Dati!N211+Dati!Y211+Dati!U211+Dati!V211+Dati!W211),(Dati!N211+Dati!Y211+Dati!V211+Dati!W211)/Dati!$D$238))&gt;0,((IF(Dati!$D$238=3,(Dati!R211+Dati!S211+Dati!AC211),(Dati!S211+Dati!AC211)/Dati!$D$238)/(IF(Dati!$D$238=3,(Dati!L211+Dati!N211+Dati!Y211+Dati!U211+Dati!V211+Dati!W211),(Dati!N211+Dati!Y211+Dati!V211+Dati!W211)/Dati!$D$238)))),0)</f>
        <v>1</v>
      </c>
    </row>
    <row r="98" spans="1:13" ht="36" customHeight="1">
      <c r="A98" s="170" t="s">
        <v>817</v>
      </c>
      <c r="B98" s="77" t="s">
        <v>778</v>
      </c>
      <c r="C98" s="58" t="s">
        <v>629</v>
      </c>
      <c r="D98" s="52">
        <f>IF(Dati!$D$228&gt;0,(Dati!D212/Dati!$D$228),0)</f>
        <v>0</v>
      </c>
      <c r="E98" s="52">
        <f>IF(Dati!$E$228&gt;0,(Dati!E212/Dati!$E$228),0)</f>
        <v>0</v>
      </c>
      <c r="F98" s="52">
        <f>IF((Dati!D212-Dati!E212+Dati!K212)&gt;0,((Dati!J212)/(Dati!D212-Dati!E212+Dati!K212)),0)</f>
        <v>0</v>
      </c>
      <c r="G98" s="52">
        <f>IF(Dati!$F$228&gt;0,(Dati!F212/Dati!$F$228),0)</f>
        <v>0</v>
      </c>
      <c r="H98" s="52">
        <f>IF(Dati!$G$228&gt;0,(Dati!G212/Dati!$G$228),0)</f>
        <v>0</v>
      </c>
      <c r="I98" s="52">
        <f>IF(Dati!$H$228&gt;0,(Dati!H212/Dati!$H$228),0)</f>
        <v>0</v>
      </c>
      <c r="J98" s="52">
        <f>IF(Dati!$I$228&gt;0,(Dati!I212/Dati!$I$228),0)</f>
        <v>0</v>
      </c>
      <c r="K98" s="52">
        <f>IF((IF(Dati!$D$238=3,(Dati!$L$228+Dati!$M$228+Dati!$N$228+Dati!$O$228+Dati!$Y$228+Dati!$Q$228),(Dati!$N$228+Dati!$O$228+Dati!$Y$228+Dati!$Q$228))/Dati!$D$238)&gt;0,((IF(Dati!$D$238=3,(Dati!L212+Dati!M212+Dati!N212+Dati!O212+Dati!Y212+Dati!Q212),(Dati!N212+Dati!O212+Dati!Y212+Dati!Q212))/Dati!$D$238)/(IF(Dati!$D$238=3,(Dati!$L$228+Dati!$M$228+Dati!$N$228+Dati!$O$228+Dati!$Y$228+Dati!$Q$228),(Dati!$N$228+Dati!$O$228+Dati!$Y$228+Dati!$Q$228))/Dati!$D$238)),0)</f>
        <v>0</v>
      </c>
      <c r="L98" s="81">
        <f>IF((IF(Dati!$D$238=3,(Dati!$M$228+Dati!$O$228+Dati!$Q$228),(Dati!$O$228+Dati!$Q$228)/Dati!$D$238))&gt;0,((IF(Dati!$D$238=3,(Dati!M212+Dati!O212+Dati!Q212),(Dati!O212+Dati!Q212)/Dati!$D$238)/(IF(Dati!$D$238=3,(Dati!$M$228+Dati!$O$228+Dati!$Q$228),(Dati!$O$228+Dati!$Q$228)/Dati!$D$238)))),0)</f>
        <v>0</v>
      </c>
      <c r="M98" s="81">
        <f>IF((IF(Dati!$D$238=3,(Dati!L212+Dati!N212+Dati!Y212+Dati!U212+Dati!V212+Dati!W212),(Dati!N212+Dati!Y212+Dati!V212+Dati!W212)/Dati!$D$238))&gt;0,((IF(Dati!$D$238=3,(Dati!R212+Dati!S212+Dati!AC212),(Dati!S212+Dati!AC212)/Dati!$D$238)/(IF(Dati!$D$238=3,(Dati!L212+Dati!N212+Dati!Y212+Dati!U212+Dati!V212+Dati!W212),(Dati!N212+Dati!Y212+Dati!V212+Dati!W212)/Dati!$D$238)))),0)</f>
        <v>0</v>
      </c>
    </row>
    <row r="99" spans="1:13" ht="36" customHeight="1">
      <c r="A99" s="177"/>
      <c r="B99" s="175" t="s">
        <v>818</v>
      </c>
      <c r="C99" s="176"/>
      <c r="D99" s="52">
        <f>IF(Dati!$D$228&gt;0,(Dati!D213/Dati!$D$228),0)</f>
        <v>0</v>
      </c>
      <c r="E99" s="52">
        <f>IF(Dati!$E$228&gt;0,(Dati!E213/Dati!$E$228),0)</f>
        <v>0</v>
      </c>
      <c r="F99" s="52">
        <f>IF((Dati!D213-Dati!E213+Dati!K213)&gt;0,((Dati!J213)/(Dati!D213-Dati!E213+Dati!K213)),0)</f>
        <v>0</v>
      </c>
      <c r="G99" s="52">
        <f>IF(Dati!$F$228&gt;0,(Dati!F213/Dati!$F$228),0)</f>
        <v>0</v>
      </c>
      <c r="H99" s="52">
        <f>IF(Dati!$G$228&gt;0,(Dati!G213/Dati!$G$228),0)</f>
        <v>0</v>
      </c>
      <c r="I99" s="52">
        <f>IF(Dati!$H$228&gt;0,(Dati!H213/Dati!$H$228),0)</f>
        <v>0</v>
      </c>
      <c r="J99" s="52">
        <f>IF(Dati!$I$228&gt;0,(Dati!I213/Dati!$I$228),0)</f>
        <v>0</v>
      </c>
      <c r="K99" s="52">
        <f>IF((IF(Dati!$D$238=3,(Dati!$L$228+Dati!$M$228+Dati!$N$228+Dati!$O$228+Dati!$Y$228+Dati!$Q$228),(Dati!$N$228+Dati!$O$228+Dati!$Y$228+Dati!$Q$228))/Dati!$D$238)&gt;0,((IF(Dati!$D$238=3,(Dati!L213+Dati!M213+Dati!N213+Dati!O213+Dati!Y213+Dati!Q213),(Dati!N213+Dati!O213+Dati!Y213+Dati!Q213))/Dati!$D$238)/(IF(Dati!$D$238=3,(Dati!$L$228+Dati!$M$228+Dati!$N$228+Dati!$O$228+Dati!$Y$228+Dati!$Q$228),(Dati!$N$228+Dati!$O$228+Dati!$Y$228+Dati!$Q$228))/Dati!$D$238)),0)</f>
        <v>0</v>
      </c>
      <c r="L99" s="81">
        <f>IF((IF(Dati!$D$238=3,(Dati!$M$228+Dati!$O$228+Dati!$Q$228),(Dati!$O$228+Dati!$Q$228)/Dati!$D$238))&gt;0,((IF(Dati!$D$238=3,(Dati!M213+Dati!O213+Dati!Q213),(Dati!O213+Dati!Q213)/Dati!$D$238)/(IF(Dati!$D$238=3,(Dati!$M$228+Dati!$O$228+Dati!$Q$228),(Dati!$O$228+Dati!$Q$228)/Dati!$D$238)))),0)</f>
        <v>0</v>
      </c>
      <c r="M99" s="81">
        <f>IF((IF(Dati!$D$238=3,(Dati!L213+Dati!N213+Dati!Y213+Dati!U213+Dati!V213+Dati!W213),(Dati!N213+Dati!Y213+Dati!V213+Dati!W213)/Dati!$D$238))&gt;0,((IF(Dati!$D$238=3,(Dati!R213+Dati!S213+Dati!AC213),(Dati!S213+Dati!AC213)/Dati!$D$238)/(IF(Dati!$D$238=3,(Dati!L213+Dati!N213+Dati!Y213+Dati!U213+Dati!V213+Dati!W213),(Dati!N213+Dati!Y213+Dati!V213+Dati!W213)/Dati!$D$238)))),0)</f>
        <v>0</v>
      </c>
    </row>
    <row r="100" spans="1:13" ht="19.5" customHeight="1">
      <c r="A100" s="170" t="s">
        <v>819</v>
      </c>
      <c r="B100" s="77" t="s">
        <v>796</v>
      </c>
      <c r="C100" s="58" t="s">
        <v>633</v>
      </c>
      <c r="D100" s="52">
        <f>IF(Dati!$D$228&gt;0,(Dati!D214/Dati!$D$228),0)</f>
        <v>0.0023434357030362746</v>
      </c>
      <c r="E100" s="52">
        <f>IF(Dati!$E$228&gt;0,(Dati!E214/Dati!$E$228),0)</f>
        <v>0</v>
      </c>
      <c r="F100" s="52">
        <f>IF((Dati!D214-Dati!E214+Dati!K214)&gt;0,((Dati!J214)/(Dati!D214-Dati!E214+Dati!K214)),0)</f>
        <v>1.326392160774037</v>
      </c>
      <c r="G100" s="52">
        <f>IF(Dati!$F$228&gt;0,(Dati!F214/Dati!$F$228),0)</f>
        <v>0.002300236852435723</v>
      </c>
      <c r="H100" s="52">
        <f>IF(Dati!$G$228&gt;0,(Dati!G214/Dati!$G$228),0)</f>
        <v>0</v>
      </c>
      <c r="I100" s="52">
        <f>IF(Dati!$H$228&gt;0,(Dati!H214/Dati!$H$228),0)</f>
        <v>0.0028995913292288508</v>
      </c>
      <c r="J100" s="52">
        <f>IF(Dati!$I$228&gt;0,(Dati!I214/Dati!$I$228),0)</f>
        <v>0</v>
      </c>
      <c r="K100" s="52">
        <f>IF((IF(Dati!$D$238=3,(Dati!$L$228+Dati!$M$228+Dati!$N$228+Dati!$O$228+Dati!$Y$228+Dati!$Q$228),(Dati!$N$228+Dati!$O$228+Dati!$Y$228+Dati!$Q$228))/Dati!$D$238)&gt;0,((IF(Dati!$D$238=3,(Dati!L214+Dati!M214+Dati!N214+Dati!O214+Dati!Y214+Dati!Q214),(Dati!N214+Dati!O214+Dati!Y214+Dati!Q214))/Dati!$D$238)/(IF(Dati!$D$238=3,(Dati!$L$228+Dati!$M$228+Dati!$N$228+Dati!$O$228+Dati!$Y$228+Dati!$Q$228),(Dati!$N$228+Dati!$O$228+Dati!$Y$228+Dati!$Q$228))/Dati!$D$238)),0)</f>
        <v>0</v>
      </c>
      <c r="L100" s="81">
        <f>IF((IF(Dati!$D$238=3,(Dati!$M$228+Dati!$O$228+Dati!$Q$228),(Dati!$O$228+Dati!$Q$228)/Dati!$D$238))&gt;0,((IF(Dati!$D$238=3,(Dati!M214+Dati!O214+Dati!Q214),(Dati!O214+Dati!Q214)/Dati!$D$238)/(IF(Dati!$D$238=3,(Dati!$M$228+Dati!$O$228+Dati!$Q$228),(Dati!$O$228+Dati!$Q$228)/Dati!$D$238)))),0)</f>
        <v>0</v>
      </c>
      <c r="M100" s="81">
        <v>0</v>
      </c>
    </row>
    <row r="101" spans="1:13" ht="14.25" customHeight="1">
      <c r="A101" s="172"/>
      <c r="B101" s="77" t="s">
        <v>790</v>
      </c>
      <c r="C101" s="58" t="s">
        <v>635</v>
      </c>
      <c r="D101" s="52">
        <f>IF(Dati!$D$228&gt;0,(Dati!D215/Dati!$D$228),0)</f>
        <v>0.047765154798008934</v>
      </c>
      <c r="E101" s="52">
        <f>IF(Dati!$E$228&gt;0,(Dati!E215/Dati!$E$228),0)</f>
        <v>0</v>
      </c>
      <c r="F101" s="52">
        <f>IF((Dati!D215-Dati!E215+Dati!K215)&gt;0,((Dati!J215)/(Dati!D215-Dati!E215+Dati!K215)),0)</f>
        <v>0</v>
      </c>
      <c r="G101" s="52">
        <f>IF(Dati!$F$228&gt;0,(Dati!F215/Dati!$F$228),0)</f>
        <v>0.04352224174347716</v>
      </c>
      <c r="H101" s="52">
        <f>IF(Dati!$G$228&gt;0,(Dati!G215/Dati!$G$228),0)</f>
        <v>0</v>
      </c>
      <c r="I101" s="52">
        <f>IF(Dati!$H$228&gt;0,(Dati!H215/Dati!$H$228),0)</f>
        <v>0.06181939359392496</v>
      </c>
      <c r="J101" s="52">
        <f>IF(Dati!$I$228&gt;0,(Dati!I215/Dati!$I$228),0)</f>
        <v>0</v>
      </c>
      <c r="K101" s="52">
        <f>IF((IF(Dati!$D$238=3,(Dati!$L$228+Dati!$M$228+Dati!$N$228+Dati!$O$228+Dati!$Y$228+Dati!$Q$228),(Dati!$N$228+Dati!$O$228+Dati!$Y$228+Dati!$Q$228))/Dati!$D$238)&gt;0,((IF(Dati!$D$238=3,(Dati!L215+Dati!M215+Dati!N215+Dati!O215+Dati!Y215+Dati!Q215),(Dati!N215+Dati!O215+Dati!Y215+Dati!Q215))/Dati!$D$238)/(IF(Dati!$D$238=3,(Dati!$L$228+Dati!$M$228+Dati!$N$228+Dati!$O$228+Dati!$Y$228+Dati!$Q$228),(Dati!$N$228+Dati!$O$228+Dati!$Y$228+Dati!$Q$228))/Dati!$D$238)),0)</f>
        <v>0</v>
      </c>
      <c r="L101" s="81">
        <f>IF((IF(Dati!$D$238=3,(Dati!$M$228+Dati!$O$228+Dati!$Q$228),(Dati!$O$228+Dati!$Q$228)/Dati!$D$238))&gt;0,((IF(Dati!$D$238=3,(Dati!M215+Dati!O215+Dati!Q215),(Dati!O215+Dati!Q215)/Dati!$D$238)/(IF(Dati!$D$238=3,(Dati!$M$228+Dati!$O$228+Dati!$Q$228),(Dati!$O$228+Dati!$Q$228)/Dati!$D$238)))),0)</f>
        <v>0</v>
      </c>
      <c r="M101" s="81">
        <v>0</v>
      </c>
    </row>
    <row r="102" spans="1:13" ht="22.5" customHeight="1">
      <c r="A102" s="172"/>
      <c r="B102" s="77" t="s">
        <v>780</v>
      </c>
      <c r="C102" s="58" t="s">
        <v>637</v>
      </c>
      <c r="D102" s="52">
        <f>IF(Dati!$D$228&gt;0,(Dati!D216/Dati!$D$228),0)</f>
        <v>0.0019513721125277764</v>
      </c>
      <c r="E102" s="52">
        <f>IF(Dati!$E$228&gt;0,(Dati!E216/Dati!$E$228),0)</f>
        <v>0</v>
      </c>
      <c r="F102" s="52">
        <f>IF((Dati!D216-Dati!E216+Dati!K216)&gt;0,((Dati!J216)/(Dati!D216-Dati!E216+Dati!K216)),0)</f>
        <v>0</v>
      </c>
      <c r="G102" s="52">
        <f>IF(Dati!$F$228&gt;0,(Dati!F216/Dati!$F$228),0)</f>
        <v>0.0020438762760435075</v>
      </c>
      <c r="H102" s="52">
        <f>IF(Dati!$G$228&gt;0,(Dati!G216/Dati!$G$228),0)</f>
        <v>0</v>
      </c>
      <c r="I102" s="52">
        <f>IF(Dati!$H$228&gt;0,(Dati!H216/Dati!$H$228),0)</f>
        <v>0.002597546948197317</v>
      </c>
      <c r="J102" s="52">
        <f>IF(Dati!$I$228&gt;0,(Dati!I216/Dati!$I$228),0)</f>
        <v>0</v>
      </c>
      <c r="K102" s="52">
        <f>IF((IF(Dati!$D$238=3,(Dati!$L$228+Dati!$M$228+Dati!$N$228+Dati!$O$228+Dati!$Y$228+Dati!$Q$228),(Dati!$N$228+Dati!$O$228+Dati!$Y$228+Dati!$Q$228))/Dati!$D$238)&gt;0,((IF(Dati!$D$238=3,(Dati!L216+Dati!M216+Dati!N216+Dati!O216+Dati!Y216+Dati!Q216),(Dati!N216+Dati!O216+Dati!Y216+Dati!Q216))/Dati!$D$238)/(IF(Dati!$D$238=3,(Dati!$L$228+Dati!$M$228+Dati!$N$228+Dati!$O$228+Dati!$Y$228+Dati!$Q$228),(Dati!$N$228+Dati!$O$228+Dati!$Y$228+Dati!$Q$228))/Dati!$D$238)),0)</f>
        <v>0.0010429792371806138</v>
      </c>
      <c r="L102" s="81">
        <f>IF((IF(Dati!$D$238=3,(Dati!$M$228+Dati!$O$228+Dati!$Q$228),(Dati!$O$228+Dati!$Q$228)/Dati!$D$238))&gt;0,((IF(Dati!$D$238=3,(Dati!M216+Dati!O216+Dati!Q216),(Dati!O216+Dati!Q216)/Dati!$D$238)/(IF(Dati!$D$238=3,(Dati!$M$228+Dati!$O$228+Dati!$Q$228),(Dati!$O$228+Dati!$Q$228)/Dati!$D$238)))),0)</f>
        <v>0</v>
      </c>
      <c r="M102" s="81">
        <f>IF((IF(Dati!$D$238=3,(Dati!L216+Dati!N216+Dati!Y216+Dati!U216+Dati!V216+Dati!W216),(Dati!N216+Dati!Y216+Dati!V216+Dati!W216)/Dati!$D$238))&gt;0,((IF(Dati!$D$238=3,(Dati!R216+Dati!S216+Dati!AC216),(Dati!S216+Dati!AC216)/Dati!$D$238)/(IF(Dati!$D$238=3,(Dati!L216+Dati!N216+Dati!Y216+Dati!U216+Dati!V216+Dati!W216),(Dati!N216+Dati!Y216+Dati!V216+Dati!W216)/Dati!$D$238)))),0)</f>
        <v>0</v>
      </c>
    </row>
    <row r="103" spans="1:13" ht="36" customHeight="1">
      <c r="A103" s="173"/>
      <c r="B103" s="169" t="s">
        <v>820</v>
      </c>
      <c r="C103" s="169"/>
      <c r="D103" s="52">
        <f>IF(Dati!$D$228&gt;0,(Dati!D217/Dati!$D$228),0)</f>
        <v>0.052059962613572985</v>
      </c>
      <c r="E103" s="52">
        <f>IF(Dati!$E$228&gt;0,(Dati!E217/Dati!$E$228),0)</f>
        <v>0</v>
      </c>
      <c r="F103" s="52">
        <f>IF((Dati!D217-Dati!E217+Dati!K217)&gt;0,((Dati!J217)/(Dati!D217-Dati!E217+Dati!K217)),0)</f>
        <v>0.05970643446015296</v>
      </c>
      <c r="G103" s="52">
        <f>IF(Dati!$F$228&gt;0,(Dati!F217/Dati!$F$228),0)</f>
        <v>0.047866354871956396</v>
      </c>
      <c r="H103" s="52">
        <f>IF(Dati!$G$228&gt;0,(Dati!G217/Dati!$G$228),0)</f>
        <v>0</v>
      </c>
      <c r="I103" s="52">
        <f>IF(Dati!$H$228&gt;0,(Dati!H217/Dati!$H$228),0)</f>
        <v>0.06731653187135113</v>
      </c>
      <c r="J103" s="52">
        <f>IF(Dati!$I$228&gt;0,(Dati!I217/Dati!$I$228),0)</f>
        <v>0</v>
      </c>
      <c r="K103" s="52">
        <f>IF((IF(Dati!$D$238=3,(Dati!$L$228+Dati!$M$228+Dati!$N$228+Dati!$O$228+Dati!$Y$228+Dati!$Q$228),(Dati!$N$228+Dati!$O$228+Dati!$Y$228+Dati!$Q$228))/Dati!$D$238)&gt;0,((IF(Dati!$D$238=3,(Dati!L217+Dati!M217+Dati!N217+Dati!O217+Dati!Y217+Dati!Q217),(Dati!N217+Dati!O217+Dati!Y217+Dati!Q217))/Dati!$D$238)/(IF(Dati!$D$238=3,(Dati!$L$228+Dati!$M$228+Dati!$N$228+Dati!$O$228+Dati!$Y$228+Dati!$Q$228),(Dati!$N$228+Dati!$O$228+Dati!$Y$228+Dati!$Q$228))/Dati!$D$238)),0)</f>
        <v>0.0010429792371806138</v>
      </c>
      <c r="L103" s="81">
        <f>IF((IF(Dati!$D$238=3,(Dati!$M$228+Dati!$O$228+Dati!$Q$228),(Dati!$O$228+Dati!$Q$228)/Dati!$D$238))&gt;0,((IF(Dati!$D$238=3,(Dati!M217+Dati!O217+Dati!Q217),(Dati!O217+Dati!Q217)/Dati!$D$238)/(IF(Dati!$D$238=3,(Dati!$M$228+Dati!$O$228+Dati!$Q$228),(Dati!$O$228+Dati!$Q$228)/Dati!$D$238)))),0)</f>
        <v>0</v>
      </c>
      <c r="M103" s="81">
        <f>IF((IF(Dati!$D$238=3,(Dati!L217+Dati!N217+Dati!Y217+Dati!U217+Dati!V217+Dati!W217),(Dati!N217+Dati!Y217+Dati!V217+Dati!W217)/Dati!$D$238))&gt;0,((IF(Dati!$D$238=3,(Dati!R217+Dati!S217+Dati!AC217),(Dati!S217+Dati!AC217)/Dati!$D$238)/(IF(Dati!$D$238=3,(Dati!L217+Dati!N217+Dati!Y217+Dati!U217+Dati!V217+Dati!W217),(Dati!N217+Dati!Y217+Dati!V217+Dati!W217)/Dati!$D$238)))),0)</f>
        <v>0</v>
      </c>
    </row>
    <row r="104" spans="1:13" ht="39" customHeight="1">
      <c r="A104" s="166" t="s">
        <v>146</v>
      </c>
      <c r="B104" s="77" t="s">
        <v>796</v>
      </c>
      <c r="C104" s="58" t="s">
        <v>641</v>
      </c>
      <c r="D104" s="52">
        <f>IF(Dati!$D$228&gt;0,(Dati!D218/Dati!$D$228),0)</f>
        <v>0</v>
      </c>
      <c r="E104" s="52">
        <f>IF(Dati!$E$228&gt;0,(Dati!E218/Dati!$E$228),0)</f>
        <v>0</v>
      </c>
      <c r="F104" s="52">
        <f>IF((Dati!D218-Dati!E218+Dati!K218)&gt;0,((Dati!J218)/(Dati!D218-Dati!E218+Dati!K218)),0)</f>
        <v>0</v>
      </c>
      <c r="G104" s="52">
        <f>IF(Dati!$F$228&gt;0,(Dati!F218/Dati!$F$228),0)</f>
        <v>0</v>
      </c>
      <c r="H104" s="52">
        <f>IF(Dati!$G$228&gt;0,(Dati!G218/Dati!$G$228),0)</f>
        <v>0</v>
      </c>
      <c r="I104" s="52">
        <f>IF(Dati!$H$228&gt;0,(Dati!H218/Dati!$H$228),0)</f>
        <v>0</v>
      </c>
      <c r="J104" s="52">
        <f>IF(Dati!$I$228&gt;0,(Dati!I218/Dati!$I$228),0)</f>
        <v>0</v>
      </c>
      <c r="K104" s="52">
        <f>IF((IF(Dati!$D$238=3,(Dati!$L$228+Dati!$M$228+Dati!$N$228+Dati!$O$228+Dati!$Y$228+Dati!$Q$228),(Dati!$N$228+Dati!$O$228+Dati!$Y$228+Dati!$Q$228))/Dati!$D$238)&gt;0,((IF(Dati!$D$238=3,(Dati!L218+Dati!M218+Dati!N218+Dati!O218+Dati!Y218+Dati!Q218),(Dati!N218+Dati!O218+Dati!Y218+Dati!Q218))/Dati!$D$238)/(IF(Dati!$D$238=3,(Dati!$L$228+Dati!$M$228+Dati!$N$228+Dati!$O$228+Dati!$Y$228+Dati!$Q$228),(Dati!$N$228+Dati!$O$228+Dati!$Y$228+Dati!$Q$228))/Dati!$D$238)),0)</f>
        <v>0</v>
      </c>
      <c r="L104" s="81">
        <f>IF((IF(Dati!$D$238=3,(Dati!$M$228+Dati!$O$228+Dati!$Q$228),(Dati!$O$228+Dati!$Q$228)/Dati!$D$238))&gt;0,((IF(Dati!$D$238=3,(Dati!M218+Dati!O218+Dati!Q218),(Dati!O218+Dati!Q218)/Dati!$D$238)/(IF(Dati!$D$238=3,(Dati!$M$228+Dati!$O$228+Dati!$Q$228),(Dati!$O$228+Dati!$Q$228)/Dati!$D$238)))),0)</f>
        <v>0</v>
      </c>
      <c r="M104" s="81">
        <f>IF((IF(Dati!$D$238=3,(Dati!L218+Dati!N218+Dati!Y218+Dati!U218+Dati!V218+Dati!W218),(Dati!N218+Dati!Y218+Dati!V218+Dati!W218)/Dati!$D$238))&gt;0,((IF(Dati!$D$238=3,(Dati!R218+Dati!S218+Dati!AC218),(Dati!S218+Dati!AC218)/Dati!$D$238)/(IF(Dati!$D$238=3,(Dati!L218+Dati!N218+Dati!Y218+Dati!U218+Dati!V218+Dati!W218),(Dati!N218+Dati!Y218+Dati!V218+Dati!W218)/Dati!$D$238)))),0)</f>
        <v>0</v>
      </c>
    </row>
    <row r="105" spans="1:13" ht="37.5" customHeight="1">
      <c r="A105" s="167" t="s">
        <v>821</v>
      </c>
      <c r="B105" s="77" t="s">
        <v>790</v>
      </c>
      <c r="C105" s="58" t="s">
        <v>643</v>
      </c>
      <c r="D105" s="52">
        <f>IF(Dati!$D$228&gt;0,(Dati!D219/Dati!$D$228),0)</f>
        <v>0.005777710521301656</v>
      </c>
      <c r="E105" s="52">
        <f>IF(Dati!$E$228&gt;0,(Dati!E219/Dati!$E$228),0)</f>
        <v>0</v>
      </c>
      <c r="F105" s="52">
        <f>IF((Dati!D219-Dati!E219+Dati!K219)&gt;0,((Dati!J219)/(Dati!D219-Dati!E219+Dati!K219)),0)</f>
        <v>1</v>
      </c>
      <c r="G105" s="52">
        <f>IF(Dati!$F$228&gt;0,(Dati!F219/Dati!$F$228),0)</f>
        <v>0.0063514322220830895</v>
      </c>
      <c r="H105" s="52">
        <f>IF(Dati!$G$228&gt;0,(Dati!G219/Dati!$G$228),0)</f>
        <v>0</v>
      </c>
      <c r="I105" s="52">
        <f>IF(Dati!$H$228&gt;0,(Dati!H219/Dati!$H$228),0)</f>
        <v>0.008472130660475335</v>
      </c>
      <c r="J105" s="52">
        <f>IF(Dati!$I$228&gt;0,(Dati!I219/Dati!$I$228),0)</f>
        <v>0</v>
      </c>
      <c r="K105" s="52">
        <f>IF((IF(Dati!$D$238=3,(Dati!$L$228+Dati!$M$228+Dati!$N$228+Dati!$O$228+Dati!$Y$228+Dati!$Q$228),(Dati!$N$228+Dati!$O$228+Dati!$Y$228+Dati!$Q$228))/Dati!$D$238)&gt;0,((IF(Dati!$D$238=3,(Dati!L219+Dati!M219+Dati!N219+Dati!O219+Dati!Y219+Dati!Q219),(Dati!N219+Dati!O219+Dati!Y219+Dati!Q219))/Dati!$D$238)/(IF(Dati!$D$238=3,(Dati!$L$228+Dati!$M$228+Dati!$N$228+Dati!$O$228+Dati!$Y$228+Dati!$Q$228),(Dati!$N$228+Dati!$O$228+Dati!$Y$228+Dati!$Q$228))/Dati!$D$238)),0)</f>
        <v>0.0090145562278846</v>
      </c>
      <c r="L105" s="81">
        <f>IF((IF(Dati!$D$238=3,(Dati!$M$228+Dati!$O$228+Dati!$Q$228),(Dati!$O$228+Dati!$Q$228)/Dati!$D$238))&gt;0,((IF(Dati!$D$238=3,(Dati!M219+Dati!O219+Dati!Q219),(Dati!O219+Dati!Q219)/Dati!$D$238)/(IF(Dati!$D$238=3,(Dati!$M$228+Dati!$O$228+Dati!$Q$228),(Dati!$O$228+Dati!$Q$228)/Dati!$D$238)))),0)</f>
        <v>0</v>
      </c>
      <c r="M105" s="81">
        <f>IF((IF(Dati!$D$238=3,(Dati!L219+Dati!N219+Dati!Y219+Dati!U219+Dati!V219+Dati!W219),(Dati!N219+Dati!Y219+Dati!V219+Dati!W219)/Dati!$D$238))&gt;0,((IF(Dati!$D$238=3,(Dati!R219+Dati!S219+Dati!AC219),(Dati!S219+Dati!AC219)/Dati!$D$238)/(IF(Dati!$D$238=3,(Dati!L219+Dati!N219+Dati!Y219+Dati!U219+Dati!V219+Dati!W219),(Dati!N219+Dati!Y219+Dati!V219+Dati!W219)/Dati!$D$238)))),0)</f>
        <v>1</v>
      </c>
    </row>
    <row r="106" spans="1:13" ht="15" customHeight="1">
      <c r="A106" s="167" t="s">
        <v>821</v>
      </c>
      <c r="B106" s="169" t="s">
        <v>822</v>
      </c>
      <c r="C106" s="169"/>
      <c r="D106" s="52">
        <f>IF(Dati!$D$228&gt;0,(Dati!D220/Dati!$D$228),0)</f>
        <v>0.005777710521301656</v>
      </c>
      <c r="E106" s="52">
        <f>IF(Dati!$E$228&gt;0,(Dati!E220/Dati!$E$228),0)</f>
        <v>0</v>
      </c>
      <c r="F106" s="52">
        <f>IF((Dati!D220-Dati!E220+Dati!K220)&gt;0,((Dati!J220)/(Dati!D220-Dati!E220+Dati!K220)),0)</f>
        <v>1</v>
      </c>
      <c r="G106" s="52">
        <f>IF(Dati!$F$228&gt;0,(Dati!F220/Dati!$F$228),0)</f>
        <v>0.0063514322220830895</v>
      </c>
      <c r="H106" s="52">
        <f>IF(Dati!$G$228&gt;0,(Dati!G220/Dati!$G$228),0)</f>
        <v>0</v>
      </c>
      <c r="I106" s="52">
        <f>IF(Dati!$H$228&gt;0,(Dati!H220/Dati!$H$228),0)</f>
        <v>0.008472130660475335</v>
      </c>
      <c r="J106" s="52">
        <f>IF(Dati!$I$228&gt;0,(Dati!I220/Dati!$I$228),0)</f>
        <v>0</v>
      </c>
      <c r="K106" s="52">
        <f>IF((IF(Dati!$D$238=3,(Dati!$L$228+Dati!$M$228+Dati!$N$228+Dati!$O$228+Dati!$Y$228+Dati!$Q$228),(Dati!$N$228+Dati!$O$228+Dati!$Y$228+Dati!$Q$228))/Dati!$D$238)&gt;0,((IF(Dati!$D$238=3,(Dati!L220+Dati!M220+Dati!N220+Dati!O220+Dati!Y220+Dati!Q220),(Dati!N220+Dati!O220+Dati!Y220+Dati!Q220))/Dati!$D$238)/(IF(Dati!$D$238=3,(Dati!$L$228+Dati!$M$228+Dati!$N$228+Dati!$O$228+Dati!$Y$228+Dati!$Q$228),(Dati!$N$228+Dati!$O$228+Dati!$Y$228+Dati!$Q$228))/Dati!$D$238)),0)</f>
        <v>0.0090145562278846</v>
      </c>
      <c r="L106" s="81">
        <f>IF((IF(Dati!$D$238=3,(Dati!$M$228+Dati!$O$228+Dati!$Q$228),(Dati!$O$228+Dati!$Q$228)/Dati!$D$238))&gt;0,((IF(Dati!$D$238=3,(Dati!M220+Dati!O220+Dati!Q220),(Dati!O220+Dati!Q220)/Dati!$D$238)/(IF(Dati!$D$238=3,(Dati!$M$228+Dati!$O$228+Dati!$Q$228),(Dati!$O$228+Dati!$Q$228)/Dati!$D$238)))),0)</f>
        <v>0</v>
      </c>
      <c r="M106" s="81">
        <f>IF((IF(Dati!$D$238=3,(Dati!L220+Dati!N220+Dati!Y220+Dati!U220+Dati!V220+Dati!W220),(Dati!N220+Dati!Y220+Dati!V220+Dati!W220)/Dati!$D$238))&gt;0,((IF(Dati!$D$238=3,(Dati!R220+Dati!S220+Dati!AC220),(Dati!S220+Dati!AC220)/Dati!$D$238)/(IF(Dati!$D$238=3,(Dati!L220+Dati!N220+Dati!Y220+Dati!U220+Dati!V220+Dati!W220),(Dati!N220+Dati!Y220+Dati!V220+Dati!W220)/Dati!$D$238)))),0)</f>
        <v>1</v>
      </c>
    </row>
    <row r="107" spans="1:13" ht="25.5" customHeight="1">
      <c r="A107" s="160" t="s">
        <v>147</v>
      </c>
      <c r="B107" s="77" t="s">
        <v>796</v>
      </c>
      <c r="C107" s="58" t="s">
        <v>647</v>
      </c>
      <c r="D107" s="52">
        <f>IF(Dati!$D$228&gt;0,(Dati!D221/Dati!$D$228),0)</f>
        <v>0</v>
      </c>
      <c r="E107" s="52">
        <f>IF(Dati!$E$228&gt;0,(Dati!E221/Dati!$E$228),0)</f>
        <v>0</v>
      </c>
      <c r="F107" s="52">
        <f>IF((Dati!D221-Dati!E221+Dati!K221)&gt;0,((Dati!J221)/(Dati!D221-Dati!E221+Dati!K221)),0)</f>
        <v>0</v>
      </c>
      <c r="G107" s="52">
        <f>IF(Dati!$F$228&gt;0,(Dati!F221/Dati!$F$228),0)</f>
        <v>0</v>
      </c>
      <c r="H107" s="52">
        <f>IF(Dati!$G$228&gt;0,(Dati!G221/Dati!$G$228),0)</f>
        <v>0</v>
      </c>
      <c r="I107" s="52">
        <f>IF(Dati!$H$228&gt;0,(Dati!H221/Dati!$H$228),0)</f>
        <v>0</v>
      </c>
      <c r="J107" s="52">
        <f>IF(Dati!$I$228&gt;0,(Dati!I221/Dati!$I$228),0)</f>
        <v>0</v>
      </c>
      <c r="K107" s="52">
        <f>IF((IF(Dati!$D$238=3,(Dati!$L$228+Dati!$M$228+Dati!$N$228+Dati!$O$228+Dati!$Y$228+Dati!$Q$228),(Dati!$N$228+Dati!$O$228+Dati!$Y$228+Dati!$Q$228))/Dati!$D$238)&gt;0,((IF(Dati!$D$238=3,(Dati!L221+Dati!M221+Dati!N221+Dati!O221+Dati!Y221+Dati!Q221),(Dati!N221+Dati!O221+Dati!Y221+Dati!Q221))/Dati!$D$238)/(IF(Dati!$D$238=3,(Dati!$L$228+Dati!$M$228+Dati!$N$228+Dati!$O$228+Dati!$Y$228+Dati!$Q$228),(Dati!$N$228+Dati!$O$228+Dati!$Y$228+Dati!$Q$228))/Dati!$D$238)),0)</f>
        <v>0</v>
      </c>
      <c r="L107" s="81">
        <f>IF((IF(Dati!$D$238=3,(Dati!$M$228+Dati!$O$228+Dati!$Q$228),(Dati!$O$228+Dati!$Q$228)/Dati!$D$238))&gt;0,((IF(Dati!$D$238=3,(Dati!M221+Dati!O221+Dati!Q221),(Dati!O221+Dati!Q221)/Dati!$D$238)/(IF(Dati!$D$238=3,(Dati!$M$228+Dati!$O$228+Dati!$Q$228),(Dati!$O$228+Dati!$Q$228)/Dati!$D$238)))),0)</f>
        <v>0</v>
      </c>
      <c r="M107" s="81">
        <f>IF((IF(Dati!$D$238=3,(Dati!L221+Dati!N221+Dati!Y221+Dati!U221+Dati!V221+Dati!W221),(Dati!N221+Dati!Y221+Dati!V221+Dati!W221)/Dati!$D$238))&gt;0,((IF(Dati!$D$238=3,(Dati!R221+Dati!S221+Dati!AC221),(Dati!S221+Dati!AC221)/Dati!$D$238)/(IF(Dati!$D$238=3,(Dati!L221+Dati!N221+Dati!Y221+Dati!U221+Dati!V221+Dati!W221),(Dati!N221+Dati!Y221+Dati!V221+Dati!W221)/Dati!$D$238)))),0)</f>
        <v>0</v>
      </c>
    </row>
    <row r="108" spans="1:13" ht="48.75" customHeight="1">
      <c r="A108" s="158" t="s">
        <v>823</v>
      </c>
      <c r="B108" s="168" t="s">
        <v>148</v>
      </c>
      <c r="C108" s="169"/>
      <c r="D108" s="52">
        <f>IF(Dati!$D$228&gt;0,(Dati!D222/Dati!$D$228),0)</f>
        <v>0</v>
      </c>
      <c r="E108" s="52">
        <f>IF(Dati!$E$228&gt;0,(Dati!E222/Dati!$E$228),0)</f>
        <v>0</v>
      </c>
      <c r="F108" s="52">
        <f>IF((Dati!D222-Dati!E222+Dati!K222)&gt;0,((Dati!J222)/(Dati!D222-Dati!E222+Dati!K222)),0)</f>
        <v>0</v>
      </c>
      <c r="G108" s="52">
        <f>IF(Dati!$F$228&gt;0,(Dati!F222/Dati!$F$228),0)</f>
        <v>0</v>
      </c>
      <c r="H108" s="52">
        <f>IF(Dati!$G$228&gt;0,(Dati!G222/Dati!$G$228),0)</f>
        <v>0</v>
      </c>
      <c r="I108" s="52">
        <f>IF(Dati!$H$228&gt;0,(Dati!H222/Dati!$H$228),0)</f>
        <v>0</v>
      </c>
      <c r="J108" s="52">
        <f>IF(Dati!$I$228&gt;0,(Dati!I222/Dati!$I$228),0)</f>
        <v>0</v>
      </c>
      <c r="K108" s="52">
        <f>IF((IF(Dati!$D$238=3,(Dati!$L$228+Dati!$M$228+Dati!$N$228+Dati!$O$228+Dati!$Y$228+Dati!$Q$228),(Dati!$N$228+Dati!$O$228+Dati!$Y$228+Dati!$Q$228))/Dati!$D$238)&gt;0,((IF(Dati!$D$238=3,(Dati!L222+Dati!M222+Dati!N222+Dati!O222+Dati!Y222+Dati!Q222),(Dati!N222+Dati!O222+Dati!Y222+Dati!Q222))/Dati!$D$238)/(IF(Dati!$D$238=3,(Dati!$L$228+Dati!$M$228+Dati!$N$228+Dati!$O$228+Dati!$Y$228+Dati!$Q$228),(Dati!$N$228+Dati!$O$228+Dati!$Y$228+Dati!$Q$228))/Dati!$D$238)),0)</f>
        <v>0</v>
      </c>
      <c r="L108" s="81">
        <f>IF((IF(Dati!$D$238=3,(Dati!$M$228+Dati!$O$228+Dati!$Q$228),(Dati!$O$228+Dati!$Q$228)/Dati!$D$238))&gt;0,((IF(Dati!$D$238=3,(Dati!M222+Dati!O222+Dati!Q222),(Dati!O222+Dati!Q222)/Dati!$D$238)/(IF(Dati!$D$238=3,(Dati!$M$228+Dati!$O$228+Dati!$Q$228),(Dati!$O$228+Dati!$Q$228)/Dati!$D$238)))),0)</f>
        <v>0</v>
      </c>
      <c r="M108" s="81">
        <f>IF((IF(Dati!$D$238=3,(Dati!L222+Dati!N222+Dati!Y222+Dati!U222+Dati!V222+Dati!W222),(Dati!N222+Dati!Y222+Dati!V222+Dati!W222)/Dati!$D$238))&gt;0,((IF(Dati!$D$238=3,(Dati!R222+Dati!S222+Dati!AC222),(Dati!S222+Dati!AC222)/Dati!$D$238)/(IF(Dati!$D$238=3,(Dati!L222+Dati!N222+Dati!Y222+Dati!U222+Dati!V222+Dati!W222),(Dati!N222+Dati!Y222+Dati!V222+Dati!W222)/Dati!$D$238)))),0)</f>
        <v>0</v>
      </c>
    </row>
    <row r="109" spans="1:13" ht="25.5" customHeight="1">
      <c r="A109" s="166" t="s">
        <v>149</v>
      </c>
      <c r="B109" s="77" t="s">
        <v>796</v>
      </c>
      <c r="C109" s="58" t="s">
        <v>651</v>
      </c>
      <c r="D109" s="52">
        <f>IF(Dati!$D$228&gt;0,(Dati!D223/Dati!$D$228),0)</f>
        <v>0.08967213505309145</v>
      </c>
      <c r="E109" s="52">
        <f>IF(Dati!$E$228&gt;0,(Dati!E223/Dati!$E$228),0)</f>
        <v>0</v>
      </c>
      <c r="F109" s="52">
        <f>IF((Dati!D223-Dati!E223+Dati!K223)&gt;0,((Dati!J223)/(Dati!D223-Dati!E223+Dati!K223)),0)</f>
        <v>1</v>
      </c>
      <c r="G109" s="52">
        <f>IF(Dati!$F$228&gt;0,(Dati!F223/Dati!$F$228),0)</f>
        <v>0.09392301359670793</v>
      </c>
      <c r="H109" s="52">
        <f>IF(Dati!$G$228&gt;0,(Dati!G223/Dati!$G$228),0)</f>
        <v>0</v>
      </c>
      <c r="I109" s="52">
        <f>IF(Dati!$H$228&gt;0,(Dati!H223/Dati!$H$228),0)</f>
        <v>0.11936604979137713</v>
      </c>
      <c r="J109" s="52">
        <f>IF(Dati!$I$228&gt;0,(Dati!I223/Dati!$I$228),0)</f>
        <v>0</v>
      </c>
      <c r="K109" s="52">
        <f>IF((IF(Dati!$D$238=3,(Dati!$L$228+Dati!$M$228+Dati!$N$228+Dati!$O$228+Dati!$Y$228+Dati!$Q$228),(Dati!$N$228+Dati!$O$228+Dati!$Y$228+Dati!$Q$228))/Dati!$D$238)&gt;0,((IF(Dati!$D$238=3,(Dati!L223+Dati!M223+Dati!N223+Dati!O223+Dati!Y223+Dati!Q223),(Dati!N223+Dati!O223+Dati!Y223+Dati!Q223))/Dati!$D$238)/(IF(Dati!$D$238=3,(Dati!$L$228+Dati!$M$228+Dati!$N$228+Dati!$O$228+Dati!$Y$228+Dati!$Q$228),(Dati!$N$228+Dati!$O$228+Dati!$Y$228+Dati!$Q$228))/Dati!$D$238)),0)</f>
        <v>0.09739877854019004</v>
      </c>
      <c r="L109" s="81">
        <f>IF((IF(Dati!$D$238=3,(Dati!$M$228+Dati!$O$228+Dati!$Q$228),(Dati!$O$228+Dati!$Q$228)/Dati!$D$238))&gt;0,((IF(Dati!$D$238=3,(Dati!M223+Dati!O223+Dati!Q223),(Dati!O223+Dati!Q223)/Dati!$D$238)/(IF(Dati!$D$238=3,(Dati!$M$228+Dati!$O$228+Dati!$Q$228),(Dati!$O$228+Dati!$Q$228)/Dati!$D$238)))),0)</f>
        <v>0</v>
      </c>
      <c r="M109" s="81">
        <f>IF((IF(Dati!$D$238=3,(Dati!L223+Dati!N223+Dati!Y223+Dati!U223+Dati!V223+Dati!W223),(Dati!N223+Dati!Y223+Dati!V223+Dati!W223)/Dati!$D$238))&gt;0,((IF(Dati!$D$238=3,(Dati!R223+Dati!S223+Dati!AC223),(Dati!S223+Dati!AC223)/Dati!$D$238)/(IF(Dati!$D$238=3,(Dati!L223+Dati!N223+Dati!Y223+Dati!U223+Dati!V223+Dati!W223),(Dati!N223+Dati!Y223+Dati!V223+Dati!W223)/Dati!$D$238)))),0)</f>
        <v>0.8718591458279019</v>
      </c>
    </row>
    <row r="110" spans="1:13" ht="37.5" customHeight="1">
      <c r="A110" s="167" t="s">
        <v>824</v>
      </c>
      <c r="B110" s="77" t="s">
        <v>790</v>
      </c>
      <c r="C110" s="58" t="s">
        <v>653</v>
      </c>
      <c r="D110" s="52">
        <f>IF(Dati!$D$228&gt;0,(Dati!D224/Dati!$D$228),0)</f>
        <v>0</v>
      </c>
      <c r="E110" s="52">
        <f>IF(Dati!$E$228&gt;0,(Dati!E224/Dati!$E$228),0)</f>
        <v>0</v>
      </c>
      <c r="F110" s="52">
        <f>IF((Dati!D224-Dati!E224+Dati!K224)&gt;0,((Dati!J224)/(Dati!D224-Dati!E224+Dati!K224)),0)</f>
        <v>0</v>
      </c>
      <c r="G110" s="52">
        <f>IF(Dati!$F$228&gt;0,(Dati!F224/Dati!$F$228),0)</f>
        <v>0</v>
      </c>
      <c r="H110" s="52">
        <f>IF(Dati!$G$228&gt;0,(Dati!G224/Dati!$G$228),0)</f>
        <v>0</v>
      </c>
      <c r="I110" s="52">
        <f>IF(Dati!$H$228&gt;0,(Dati!H224/Dati!$H$228),0)</f>
        <v>0</v>
      </c>
      <c r="J110" s="52">
        <f>IF(Dati!$I$228&gt;0,(Dati!I224/Dati!$I$228),0)</f>
        <v>0</v>
      </c>
      <c r="K110" s="52">
        <f>IF((IF(Dati!$D$238=3,(Dati!$L$228+Dati!$M$228+Dati!$N$228+Dati!$O$228+Dati!$Y$228+Dati!$Q$228),(Dati!$N$228+Dati!$O$228+Dati!$Y$228+Dati!$Q$228))/Dati!$D$238)&gt;0,((IF(Dati!$D$238=3,(Dati!L224+Dati!M224+Dati!N224+Dati!O224+Dati!Y224+Dati!Q224),(Dati!N224+Dati!O224+Dati!Y224+Dati!Q224))/Dati!$D$238)/(IF(Dati!$D$238=3,(Dati!$L$228+Dati!$M$228+Dati!$N$228+Dati!$O$228+Dati!$Y$228+Dati!$Q$228),(Dati!$N$228+Dati!$O$228+Dati!$Y$228+Dati!$Q$228))/Dati!$D$238)),0)</f>
        <v>0</v>
      </c>
      <c r="L110" s="81">
        <f>IF((IF(Dati!$D$238=3,(Dati!$M$228+Dati!$O$228+Dati!$Q$228),(Dati!$O$228+Dati!$Q$228)/Dati!$D$238))&gt;0,((IF(Dati!$D$238=3,(Dati!M224+Dati!O224+Dati!Q224),(Dati!O224+Dati!Q224)/Dati!$D$238)/(IF(Dati!$D$238=3,(Dati!$M$228+Dati!$O$228+Dati!$Q$228),(Dati!$O$228+Dati!$Q$228)/Dati!$D$238)))),0)</f>
        <v>0</v>
      </c>
      <c r="M110" s="81">
        <f>IF((IF(Dati!$D$238=3,(Dati!L224+Dati!N224+Dati!Y224+Dati!U224+Dati!V224+Dati!W224),(Dati!N224+Dati!Y224+Dati!V224+Dati!W224)/Dati!$D$238))&gt;0,((IF(Dati!$D$238=3,(Dati!R224+Dati!S224+Dati!AC224),(Dati!S224+Dati!AC224)/Dati!$D$238)/(IF(Dati!$D$238=3,(Dati!L224+Dati!N224+Dati!Y224+Dati!U224+Dati!V224+Dati!W224),(Dati!N224+Dati!Y224+Dati!V224+Dati!W224)/Dati!$D$238)))),0)</f>
        <v>0</v>
      </c>
    </row>
    <row r="111" spans="1:13" ht="30.75" customHeight="1">
      <c r="A111" s="167" t="s">
        <v>824</v>
      </c>
      <c r="B111" s="168" t="s">
        <v>150</v>
      </c>
      <c r="C111" s="169"/>
      <c r="D111" s="52">
        <f>IF(Dati!$D$228&gt;0,(Dati!D225/Dati!$D$228),0)</f>
        <v>0.08967213505309145</v>
      </c>
      <c r="E111" s="52">
        <f>IF(Dati!$E$228&gt;0,(Dati!E225/Dati!$E$228),0)</f>
        <v>0</v>
      </c>
      <c r="F111" s="52">
        <f>IF((Dati!D225-Dati!E225+Dati!K225)&gt;0,((Dati!J225)/(Dati!D225-Dati!E225+Dati!K225)),0)</f>
        <v>1</v>
      </c>
      <c r="G111" s="52">
        <f>IF(Dati!$F$228&gt;0,(Dati!F225/Dati!$F$228),0)</f>
        <v>0.09392301359670793</v>
      </c>
      <c r="H111" s="52">
        <f>IF(Dati!$G$228&gt;0,(Dati!G225/Dati!$G$228),0)</f>
        <v>0</v>
      </c>
      <c r="I111" s="52">
        <f>IF(Dati!$H$228&gt;0,(Dati!H225/Dati!$H$228),0)</f>
        <v>0.11936604979137713</v>
      </c>
      <c r="J111" s="52">
        <f>IF(Dati!$I$228&gt;0,(Dati!I225/Dati!$I$228),0)</f>
        <v>0</v>
      </c>
      <c r="K111" s="52">
        <f>IF((IF(Dati!$D$238=3,(Dati!$L$228+Dati!$M$228+Dati!$N$228+Dati!$O$228+Dati!$Y$228+Dati!$Q$228),(Dati!$N$228+Dati!$O$228+Dati!$Y$228+Dati!$Q$228))/Dati!$D$238)&gt;0,((IF(Dati!$D$238=3,(Dati!L225+Dati!M225+Dati!N225+Dati!O225+Dati!Y225+Dati!Q225),(Dati!N225+Dati!O225+Dati!Y225+Dati!Q225))/Dati!$D$238)/(IF(Dati!$D$238=3,(Dati!$L$228+Dati!$M$228+Dati!$N$228+Dati!$O$228+Dati!$Y$228+Dati!$Q$228),(Dati!$N$228+Dati!$O$228+Dati!$Y$228+Dati!$Q$228))/Dati!$D$238)),0)</f>
        <v>0.09739877854019004</v>
      </c>
      <c r="L111" s="81">
        <f>IF((IF(Dati!$D$238=3,(Dati!$M$228+Dati!$O$228+Dati!$Q$228),(Dati!$O$228+Dati!$Q$228)/Dati!$D$238))&gt;0,((IF(Dati!$D$238=3,(Dati!M225+Dati!O225+Dati!Q225),(Dati!O225+Dati!Q225)/Dati!$D$238)/(IF(Dati!$D$238=3,(Dati!$M$228+Dati!$O$228+Dati!$Q$228),(Dati!$O$228+Dati!$Q$228)/Dati!$D$238)))),0)</f>
        <v>0</v>
      </c>
      <c r="M111" s="81">
        <f>IF((IF(Dati!$D$238=3,(Dati!L225+Dati!N225+Dati!Y225+Dati!U225+Dati!V225+Dati!W225),(Dati!N225+Dati!Y225+Dati!V225+Dati!W225)/Dati!$D$238))&gt;0,((IF(Dati!$D$238=3,(Dati!R225+Dati!S225+Dati!AC225),(Dati!S225+Dati!AC225)/Dati!$D$238)/(IF(Dati!$D$238=3,(Dati!L225+Dati!N225+Dati!Y225+Dati!U225+Dati!V225+Dati!W225),(Dati!N225+Dati!Y225+Dati!V225+Dati!W225)/Dati!$D$238)))),0)</f>
        <v>0.8718591458279019</v>
      </c>
    </row>
    <row r="112" spans="1:13" ht="46.5" customHeight="1">
      <c r="A112" s="180" t="s">
        <v>94</v>
      </c>
      <c r="B112" s="181"/>
      <c r="C112" s="181"/>
      <c r="D112" s="181"/>
      <c r="E112" s="181"/>
      <c r="F112" s="181"/>
      <c r="G112" s="181"/>
      <c r="H112" s="181"/>
      <c r="I112" s="181"/>
      <c r="J112" s="181"/>
      <c r="K112" s="181"/>
      <c r="L112" s="181"/>
      <c r="M112" s="181"/>
    </row>
  </sheetData>
  <sheetProtection/>
  <mergeCells count="59">
    <mergeCell ref="J5:K5"/>
    <mergeCell ref="A6:H6"/>
    <mergeCell ref="A4:M4"/>
    <mergeCell ref="A3:M3"/>
    <mergeCell ref="A5:I5"/>
    <mergeCell ref="A112:M112"/>
    <mergeCell ref="D8:E8"/>
    <mergeCell ref="D7:J7"/>
    <mergeCell ref="B111:C111"/>
    <mergeCell ref="B108:C108"/>
    <mergeCell ref="B106:C106"/>
    <mergeCell ref="B103:C103"/>
    <mergeCell ref="B93:C93"/>
    <mergeCell ref="B73:C73"/>
    <mergeCell ref="A100:A103"/>
    <mergeCell ref="B60:C60"/>
    <mergeCell ref="A87:A90"/>
    <mergeCell ref="B95:C95"/>
    <mergeCell ref="B63:C63"/>
    <mergeCell ref="A64:A73"/>
    <mergeCell ref="B86:C86"/>
    <mergeCell ref="B81:C81"/>
    <mergeCell ref="B99:C99"/>
    <mergeCell ref="A98:A99"/>
    <mergeCell ref="B97:C97"/>
    <mergeCell ref="A96:A97"/>
    <mergeCell ref="A94:A95"/>
    <mergeCell ref="A91:A93"/>
    <mergeCell ref="B90:C90"/>
    <mergeCell ref="A74:A81"/>
    <mergeCell ref="A82:A86"/>
    <mergeCell ref="B27:C27"/>
    <mergeCell ref="B21:C21"/>
    <mergeCell ref="B45:C45"/>
    <mergeCell ref="A43:A45"/>
    <mergeCell ref="A46:A54"/>
    <mergeCell ref="A55:A60"/>
    <mergeCell ref="B42:C42"/>
    <mergeCell ref="B54:C54"/>
    <mergeCell ref="A107:A108"/>
    <mergeCell ref="A109:A111"/>
    <mergeCell ref="B40:C40"/>
    <mergeCell ref="B37:C37"/>
    <mergeCell ref="B34:C34"/>
    <mergeCell ref="A61:A63"/>
    <mergeCell ref="A28:A34"/>
    <mergeCell ref="A41:A42"/>
    <mergeCell ref="A35:A37"/>
    <mergeCell ref="A104:A106"/>
    <mergeCell ref="A7:C9"/>
    <mergeCell ref="A38:A40"/>
    <mergeCell ref="K7:M7"/>
    <mergeCell ref="K8:K9"/>
    <mergeCell ref="L8:L9"/>
    <mergeCell ref="M8:M9"/>
    <mergeCell ref="A10:A21"/>
    <mergeCell ref="B24:C24"/>
    <mergeCell ref="A22:A24"/>
    <mergeCell ref="A25:A27"/>
  </mergeCells>
  <printOptions horizontalCentered="1"/>
  <pageMargins left="0.11811023622047245" right="0.11811023622047245" top="0.15748031496062992" bottom="0.15748031496062992" header="0.31496062992125984" footer="0.31496062992125984"/>
  <pageSetup horizontalDpi="600" verticalDpi="600" orientation="landscape" paperSize="8" scale="9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cristina massidda</cp:lastModifiedBy>
  <cp:lastPrinted>2019-03-14T14:57:56Z</cp:lastPrinted>
  <dcterms:created xsi:type="dcterms:W3CDTF">2018-02-02T12:05:38Z</dcterms:created>
  <dcterms:modified xsi:type="dcterms:W3CDTF">2019-03-14T14:58:57Z</dcterms:modified>
  <cp:category/>
  <cp:version/>
  <cp:contentType/>
  <cp:contentStatus/>
</cp:coreProperties>
</file>